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s\1 Money\2 LLC's\2 G4Grads, LLC\Admin\Website\Order forms\"/>
    </mc:Choice>
  </mc:AlternateContent>
  <xr:revisionPtr revIDLastSave="0" documentId="8_{F888B4EC-5FBD-4B67-A83F-72BB91F2BF20}" xr6:coauthVersionLast="47" xr6:coauthVersionMax="47" xr10:uidLastSave="{00000000-0000-0000-0000-000000000000}"/>
  <workbookProtection workbookAlgorithmName="SHA-512" workbookHashValue="wKkUOm0SJwy/8dt3iEOR0GljDf6bCifkD+6IoPbvTW8UMvmyj7C7YV2wN3LsNbaqWS7EQhk1MhOss3FbYKrx1w==" workbookSaltValue="WFaugOwTfnw2gg4QzBIihg==" workbookSpinCount="100000" lockStructure="1"/>
  <bookViews>
    <workbookView xWindow="-108" yWindow="-108" windowWidth="30936" windowHeight="16776" xr2:uid="{F52A88A9-EE3D-A84E-8D87-37BC37824197}"/>
  </bookViews>
  <sheets>
    <sheet name="Instructions" sheetId="11" r:id="rId1"/>
    <sheet name="1 Input_Form" sheetId="5" r:id="rId2"/>
    <sheet name="2 Engraving" sheetId="8" r:id="rId3"/>
    <sheet name="3 Eligibility" sheetId="10" r:id="rId4"/>
    <sheet name="4 Display Case" sheetId="14" r:id="rId5"/>
    <sheet name="Kiesler" sheetId="13" state="hidden" r:id="rId6"/>
    <sheet name="Option pricing" sheetId="7" state="hidden" r:id="rId7"/>
    <sheet name="Gun Pricing" sheetId="1" state="hidden" r:id="rId8"/>
    <sheet name="G4G Instructions" sheetId="3" state="hidden" r:id="rId9"/>
    <sheet name="OS_Transfer" sheetId="16" state="hidden" r:id="rId10"/>
    <sheet name="Calculations" sheetId="17" state="hidden" r:id="rId11"/>
    <sheet name="Developer Notes" sheetId="15" state="hidden" r:id="rId12"/>
  </sheets>
  <definedNames>
    <definedName name="acc1_name">'Option pricing'!$E$2</definedName>
    <definedName name="acc1_price">'Option pricing'!$F$2</definedName>
    <definedName name="acc1_qty">'1 Input_Form'!$N$16</definedName>
    <definedName name="acc1_source">'Option pricing'!$G$2</definedName>
    <definedName name="acc2_name">'Option pricing'!$E$3</definedName>
    <definedName name="acc2_price">'Option pricing'!$F$3</definedName>
    <definedName name="acc2_qty">'1 Input_Form'!$N$17</definedName>
    <definedName name="acc2_source">'Option pricing'!$G$3</definedName>
    <definedName name="acc3_name">'Option pricing'!$E$4</definedName>
    <definedName name="acc3_price">'Option pricing'!$F$4</definedName>
    <definedName name="acc3_qty">'1 Input_Form'!$N$18</definedName>
    <definedName name="acc3_source">'Option pricing'!$G$4</definedName>
    <definedName name="acc4_name">'Option pricing'!$E$5</definedName>
    <definedName name="acc4_price">'Option pricing'!$F$5</definedName>
    <definedName name="acc4_qty">'1 Input_Form'!$N$19</definedName>
    <definedName name="acc4_source">'Option pricing'!$G$5</definedName>
    <definedName name="acc5_name">'Option pricing'!$E$6</definedName>
    <definedName name="acc5_price">'Option pricing'!$F$6</definedName>
    <definedName name="acc5_qty">'1 Input_Form'!$N$20</definedName>
    <definedName name="acc5_source">'Option pricing'!$G$6</definedName>
    <definedName name="Accessory_name">'Option pricing'!$E$2:$E$6</definedName>
    <definedName name="ameriglo_price">'Option pricing'!$B$3</definedName>
    <definedName name="amex_first_digit">Calculations!$B$10</definedName>
    <definedName name="billing_address_1">'1 Input_Form'!$X$34</definedName>
    <definedName name="billing_address_2">'1 Input_Form'!$X$35</definedName>
    <definedName name="billing_address_check">Calculations!$A$33</definedName>
    <definedName name="billing_city">'1 Input_Form'!$Y$36</definedName>
    <definedName name="billing_state">'1 Input_Form'!$Y$37</definedName>
    <definedName name="billing_zip">'1 Input_Form'!$AA$37</definedName>
    <definedName name="card_holder_name">'1 Input_Form'!$X$32</definedName>
    <definedName name="cardholder_phone">'1 Input_Form'!$Y$38</definedName>
    <definedName name="case_address_1">'4 Display Case'!$E$14</definedName>
    <definedName name="case_address_2">'4 Display Case'!$E$15</definedName>
    <definedName name="case_address_city">'4 Display Case'!$E$16</definedName>
    <definedName name="case_address_state">'4 Display Case'!$E$17</definedName>
    <definedName name="case_address_zip">'4 Display Case'!$E$18</definedName>
    <definedName name="COS_FFL">'Option pricing'!$C$30</definedName>
    <definedName name="COS_FFL_Address1">'Option pricing'!$D$30</definedName>
    <definedName name="COS_FFL_Address2">'Option pricing'!$E$30</definedName>
    <definedName name="COS_FFL_city">'Option pricing'!$F$30</definedName>
    <definedName name="COS_FFL_phone">'Option pricing'!$I$30</definedName>
    <definedName name="COS_FFL_State">'Option pricing'!$G$30</definedName>
    <definedName name="COS_FFL_zip">'Option pricing'!$H$30</definedName>
    <definedName name="date_order">'1 Input_Form'!$AA$32</definedName>
    <definedName name="DFW_FFL">'Option pricing'!$C$31</definedName>
    <definedName name="DFW_FFL_Address1">'Option pricing'!$D$31</definedName>
    <definedName name="DFW_FFL_Address2">'Option pricing'!$E$31</definedName>
    <definedName name="DFW_FFL_city">'Option pricing'!$F$31</definedName>
    <definedName name="DFW_FFL_phone">'Option pricing'!$I$31</definedName>
    <definedName name="DFW_FFL_State">'Option pricing'!$G$31</definedName>
    <definedName name="DFW_FFL_zip">'Option pricing'!$H$31</definedName>
    <definedName name="discover_first_digit">Calculations!$B$13</definedName>
    <definedName name="engraving_price">'Option pricing'!$B$4</definedName>
    <definedName name="engravings_blank">Calculations!$B$17</definedName>
    <definedName name="ffl_address_1">'1 Input_Form'!$X$24</definedName>
    <definedName name="ffl_address_2">'1 Input_Form'!$X$25</definedName>
    <definedName name="FFL_choice">'Option pricing'!$A$28</definedName>
    <definedName name="ffl_city">'1 Input_Form'!$Y$26</definedName>
    <definedName name="ffl_name">'1 Input_Form'!$Y$22</definedName>
    <definedName name="ffl_phone">'1 Input_Form'!$Y$28</definedName>
    <definedName name="ffl_state">'1 Input_Form'!$Y$27</definedName>
    <definedName name="ffl_zip">'1 Input_Form'!$AA$27</definedName>
    <definedName name="GNS_price">'Option pricing'!$B$2</definedName>
    <definedName name="gun_model">'1 Input_Form'!$N$5</definedName>
    <definedName name="gun_subtotal">'1 Input_Form'!$T$14</definedName>
    <definedName name="mastercard_first_digit">Calculations!$B$12</definedName>
    <definedName name="number_of_free_engravings">'Option pricing'!$B$5</definedName>
    <definedName name="order_number">'1 Input_Form'!$X$42</definedName>
    <definedName name="owner_email">'1 Input_Form'!$Y$10</definedName>
    <definedName name="owner_name_first">'1 Input_Form'!$X$9</definedName>
    <definedName name="owner_name_last">'1 Input_Form'!$Z$9</definedName>
    <definedName name="owner_phone">'1 Input_Form'!$Z$11</definedName>
    <definedName name="_xlnm.Print_Area" localSheetId="1">'1 Input_Form'!$B$2:$AA$43</definedName>
    <definedName name="_xlnm.Print_Area" localSheetId="2">'2 Engraving'!$B$2:$I$19</definedName>
    <definedName name="_xlnm.Print_Area" localSheetId="3">'3 Eligibility'!$B$2:$H$35</definedName>
    <definedName name="_xlnm.Print_Area" localSheetId="4">'4 Display Case'!$B$2:$F$34</definedName>
    <definedName name="_xlnm.Print_Area" localSheetId="11">'Developer Notes'!#REF!</definedName>
    <definedName name="_xlnm.Print_Area" localSheetId="8">'G4G Instructions'!$A$1:$C$68</definedName>
    <definedName name="_xlnm.Print_Area" localSheetId="7">'Gun Pricing'!$D$1:$I$79</definedName>
    <definedName name="_xlnm.Print_Area" localSheetId="0">Instructions!$B$2:$C$16</definedName>
    <definedName name="_xlnm.Print_Area" localSheetId="5">Kiesler!$C$2:$H$36</definedName>
    <definedName name="_xlnm.Print_Area" localSheetId="6">'Option pricing'!$A$1:$H$24</definedName>
    <definedName name="_xlnm.Print_Titles" localSheetId="7">'Gun Pricing'!$1:$4</definedName>
    <definedName name="sales_tax_amount">'1 Input_Form'!$T$25</definedName>
    <definedName name="sales_tax_rate">'1 Input_Form'!$P$26</definedName>
    <definedName name="serial_number">'1 Input_Form'!$Z$42</definedName>
    <definedName name="shipping_price">'Option pricing'!$B$6</definedName>
    <definedName name="sight_model">'1 Input_Form'!$N$10</definedName>
    <definedName name="taxable_subtotal">'1 Input_Form'!$T$24</definedName>
    <definedName name="version_1_Input_Form">'1 Input_Form'!$I$43</definedName>
    <definedName name="version_2_engraving">'2 Engraving'!$D$19</definedName>
    <definedName name="version_3_eligibility">'3 Eligibility'!$C$35</definedName>
    <definedName name="version_4_display_case">'4 Display Case'!$C$34</definedName>
    <definedName name="version_G4G_instructions">'G4G Instructions'!$B$1</definedName>
    <definedName name="version_gun_pricing">'Gun Pricing'!$E$1</definedName>
    <definedName name="version_kiesler">Kiesler!$D$36</definedName>
    <definedName name="version_option_pricing">'Option pricing'!$A$1</definedName>
    <definedName name="version_OS_transfer">OS_Transfer!$B$1</definedName>
    <definedName name="version_workbook">Calculations!$C$52</definedName>
    <definedName name="visa_first_digit">Calculations!$B$11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8" i="5" l="1"/>
  <c r="AA27" i="5"/>
  <c r="Y26" i="5"/>
  <c r="Y27" i="5"/>
  <c r="X25" i="5"/>
  <c r="X24" i="5"/>
  <c r="Y22" i="5"/>
  <c r="D23" i="13"/>
  <c r="D22" i="13"/>
  <c r="D21" i="13"/>
  <c r="A18" i="17"/>
  <c r="A19" i="17"/>
  <c r="A20" i="17"/>
  <c r="A21" i="17"/>
  <c r="A22" i="17"/>
  <c r="A23" i="17"/>
  <c r="A24" i="17"/>
  <c r="A25" i="17"/>
  <c r="A26" i="17"/>
  <c r="A27" i="17"/>
  <c r="A28" i="17"/>
  <c r="C51" i="17"/>
  <c r="C50" i="17"/>
  <c r="C49" i="17"/>
  <c r="C48" i="17"/>
  <c r="C47" i="17"/>
  <c r="C46" i="17"/>
  <c r="C45" i="17"/>
  <c r="C44" i="17"/>
  <c r="C43" i="17"/>
  <c r="H3" i="16"/>
  <c r="C4" i="14"/>
  <c r="N20" i="5"/>
  <c r="B3" i="16"/>
  <c r="A3" i="16"/>
  <c r="C3" i="8"/>
  <c r="E3" i="8"/>
  <c r="J3" i="16"/>
  <c r="I3" i="16"/>
  <c r="B32" i="15"/>
  <c r="C32" i="15" s="1"/>
  <c r="D32" i="15" s="1"/>
  <c r="E24" i="15"/>
  <c r="C17" i="15" a="1"/>
  <c r="C17" i="15" s="1"/>
  <c r="B16" i="15"/>
  <c r="B17" i="17" l="1"/>
  <c r="C52" i="17"/>
  <c r="B2" i="3" s="1"/>
  <c r="Q12" i="5"/>
  <c r="B12" i="5"/>
  <c r="C18" i="14"/>
  <c r="C17" i="14"/>
  <c r="C16" i="14"/>
  <c r="C15" i="14"/>
  <c r="C14" i="14"/>
  <c r="B16" i="5"/>
  <c r="B17" i="5"/>
  <c r="B18" i="5"/>
  <c r="J25" i="13"/>
  <c r="C16" i="13"/>
  <c r="C15" i="13"/>
  <c r="C14" i="13"/>
  <c r="C13" i="13"/>
  <c r="D9" i="13"/>
  <c r="D10" i="13"/>
  <c r="D17" i="13"/>
  <c r="D16" i="13"/>
  <c r="D15" i="13"/>
  <c r="D14" i="13"/>
  <c r="D13" i="13"/>
  <c r="C17" i="13"/>
  <c r="D4" i="13"/>
  <c r="C16" i="11" l="1"/>
  <c r="C30" i="10"/>
  <c r="D28" i="13"/>
  <c r="D27" i="13"/>
  <c r="I3" i="8" l="1"/>
  <c r="G3" i="8"/>
  <c r="T23" i="5"/>
  <c r="B13" i="5"/>
  <c r="B10" i="7"/>
  <c r="B11" i="7" s="1"/>
  <c r="F30" i="13"/>
  <c r="D31" i="13"/>
  <c r="D29" i="13"/>
  <c r="G3" i="16"/>
  <c r="T20" i="5"/>
  <c r="T19" i="5"/>
  <c r="T18" i="5"/>
  <c r="T16" i="5"/>
  <c r="P16" i="5"/>
  <c r="T17" i="5" a="1"/>
  <c r="T17" i="5" s="1"/>
  <c r="P20" i="5"/>
  <c r="B20" i="5"/>
  <c r="P19" i="5"/>
  <c r="P18" i="5"/>
  <c r="P17" i="5"/>
  <c r="B19" i="5"/>
  <c r="T6" i="5"/>
  <c r="L2" i="1"/>
  <c r="L3" i="1" s="1" a="1"/>
  <c r="L3" i="1" s="1"/>
  <c r="T10" i="5"/>
  <c r="C39" i="15" l="1"/>
  <c r="C37" i="15"/>
  <c r="B35" i="15"/>
  <c r="C35" i="15" s="1"/>
  <c r="E6" i="14"/>
  <c r="L26" i="5"/>
  <c r="P26" i="5" s="1"/>
  <c r="D30" i="13"/>
  <c r="T12" i="5"/>
  <c r="T14" i="5" s="1"/>
  <c r="T24" i="5" s="1"/>
  <c r="D19" i="13"/>
  <c r="T25" i="5" l="1"/>
  <c r="T27" i="5" s="1"/>
  <c r="D2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tc={BAAEBE50-41B2-1649-97C9-C3D0F432985A}</author>
  </authors>
  <commentList>
    <comment ref="F9" authorId="0" shapeId="0" xr:uid="{BAAEBE50-41B2-1649-97C9-C3D0F432985A}">
      <text>
        <t>[Threaded comment]
Your version of Excel allows you to read this threaded comment; however, any edits to it will get removed if the file is opened in a newer version of Excel. Learn more: https://go.microsoft.com/fwlink/?linkid=870924
Comment:
    GNS not available as “additional sight” because it is the basic sight on G19X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cellMetadata count="1">
    <bk>
      <rc t="1" v="0"/>
    </bk>
  </cellMetadata>
  <valueMetadata count="4">
    <bk>
      <rc t="2" v="0"/>
    </bk>
    <bk>
      <rc t="2" v="1"/>
    </bk>
    <bk>
      <rc t="2" v="2"/>
    </bk>
    <bk>
      <rc t="2" v="3"/>
    </bk>
  </valueMetadata>
</metadata>
</file>

<file path=xl/sharedStrings.xml><?xml version="1.0" encoding="utf-8"?>
<sst xmlns="http://schemas.openxmlformats.org/spreadsheetml/2006/main" count="644" uniqueCount="403">
  <si>
    <t>Cal</t>
  </si>
  <si>
    <t>Mod</t>
  </si>
  <si>
    <t>Type</t>
  </si>
  <si>
    <t>9MM</t>
  </si>
  <si>
    <t>Gen5</t>
  </si>
  <si>
    <t>Gen5 MOS</t>
  </si>
  <si>
    <t>9mm</t>
  </si>
  <si>
    <t>17L</t>
  </si>
  <si>
    <t>19X</t>
  </si>
  <si>
    <t>43x</t>
  </si>
  <si>
    <t>G43Xblack</t>
  </si>
  <si>
    <t>G43X MOS</t>
  </si>
  <si>
    <t>G45 MOS</t>
  </si>
  <si>
    <t>G47 MOS</t>
  </si>
  <si>
    <t>G48black</t>
  </si>
  <si>
    <t>G48 MOS</t>
  </si>
  <si>
    <t>G49MOS</t>
  </si>
  <si>
    <t>10mm</t>
  </si>
  <si>
    <t>Gen4</t>
  </si>
  <si>
    <t>20SF</t>
  </si>
  <si>
    <t>Gen5MOS</t>
  </si>
  <si>
    <t>29SF</t>
  </si>
  <si>
    <t>Gen4 MOS</t>
  </si>
  <si>
    <t>45 ACP</t>
  </si>
  <si>
    <t>21SF</t>
  </si>
  <si>
    <t>30SF</t>
  </si>
  <si>
    <t>30S</t>
  </si>
  <si>
    <t>.40 cal</t>
  </si>
  <si>
    <t>Gen4MOS</t>
  </si>
  <si>
    <t>.22LR</t>
  </si>
  <si>
    <t>380 Auto</t>
  </si>
  <si>
    <t>357 cal</t>
  </si>
  <si>
    <t>WE DO NOT OFFER:</t>
  </si>
  <si>
    <t>GNS</t>
  </si>
  <si>
    <t>Ameriglo</t>
  </si>
  <si>
    <t>Basic Sight</t>
  </si>
  <si>
    <t>Std</t>
  </si>
  <si>
    <t>GNS Additional</t>
  </si>
  <si>
    <t>Ameriglo Additional</t>
  </si>
  <si>
    <t>G4G Price</t>
  </si>
  <si>
    <t>With basic sight</t>
  </si>
  <si>
    <t>G17 Gen5 - 9mm</t>
  </si>
  <si>
    <t>G17L Gen5 - 9mm</t>
  </si>
  <si>
    <t>G19 Gen5 - 9mm</t>
  </si>
  <si>
    <t>G19 Gen5 MOS - 9mm</t>
  </si>
  <si>
    <t>G26 Gen5 - 9mm</t>
  </si>
  <si>
    <t>G34 Gen5 MOS - 9mm</t>
  </si>
  <si>
    <t>G43  - 9mm</t>
  </si>
  <si>
    <t>G45  - 9mm</t>
  </si>
  <si>
    <t>G20 Gen4 - 10mm</t>
  </si>
  <si>
    <t>G20SF  - 10mm</t>
  </si>
  <si>
    <t>G29 Gen4 - 10mm</t>
  </si>
  <si>
    <t>G29SF  - 10mm</t>
  </si>
  <si>
    <t>G40 Gen4 MOS - 10mm</t>
  </si>
  <si>
    <t>G22 Gen5 - .40 cal</t>
  </si>
  <si>
    <t>G22 Gen5 MOS - .40 cal</t>
  </si>
  <si>
    <t>G23 Gen5 - .40 cal</t>
  </si>
  <si>
    <t>G23 Gen5 MOS - .40 cal</t>
  </si>
  <si>
    <t>G24  - .40 cal</t>
  </si>
  <si>
    <t>G27 Gen5 - .40 cal</t>
  </si>
  <si>
    <t>G44  - .22LR</t>
  </si>
  <si>
    <t>G42  - 380 Auto</t>
  </si>
  <si>
    <t>https://support.microsoft.com/en-us/office/create-a-drop-down-list-7693307a-59ef-400a-b769-c5402dce407b</t>
  </si>
  <si>
    <t>G19X  - 9mm (GNS only)</t>
  </si>
  <si>
    <t>G43x  - 9mm</t>
  </si>
  <si>
    <t>G48 - 9mm</t>
  </si>
  <si>
    <t>G43x MOS - 9mm</t>
  </si>
  <si>
    <t>G45 MOS - 9mm</t>
  </si>
  <si>
    <t>G47 MOS - 9mm</t>
  </si>
  <si>
    <t>G48 MOS - 9mm</t>
  </si>
  <si>
    <t>MODEL NAME</t>
  </si>
  <si>
    <t>AmeriGlo</t>
  </si>
  <si>
    <t>https://www.youtube.com/watch?v=oYF162_Cmwc</t>
  </si>
  <si>
    <t>Drop down list</t>
  </si>
  <si>
    <t>Multiple-dependent drop down list</t>
  </si>
  <si>
    <t>_</t>
  </si>
  <si>
    <t>Adjustable</t>
  </si>
  <si>
    <t>GNS standard</t>
  </si>
  <si>
    <t>https://www.youtube.com/watch?v=YWT7u2ldPmI</t>
  </si>
  <si>
    <t>SIGHT PRICE:</t>
  </si>
  <si>
    <t>BASE  PRICE:</t>
  </si>
  <si>
    <t>MODEL SELECTED BY USER</t>
  </si>
  <si>
    <t>Possible sights</t>
  </si>
  <si>
    <t>Sight Options</t>
  </si>
  <si>
    <t>Engraving</t>
  </si>
  <si>
    <t>Version date</t>
  </si>
  <si>
    <t>Shipping</t>
  </si>
  <si>
    <t>Number of free engravings</t>
  </si>
  <si>
    <t>ACCESSORIES</t>
  </si>
  <si>
    <t>Top-Front Sight</t>
  </si>
  <si>
    <t>Right Side - front of ejector port</t>
  </si>
  <si>
    <t>Right Side - aft of ejector port</t>
  </si>
  <si>
    <t>Right Side - under ejector port</t>
  </si>
  <si>
    <t>Left Side - Front Serration</t>
  </si>
  <si>
    <t>Left Side - Center</t>
  </si>
  <si>
    <t>Left Side - Rear Serration</t>
  </si>
  <si>
    <t>Right Side - Front Serration</t>
  </si>
  <si>
    <t>Right Side - Rear Serration</t>
  </si>
  <si>
    <t>Name:</t>
  </si>
  <si>
    <t>Model:</t>
  </si>
  <si>
    <t>Serial:</t>
  </si>
  <si>
    <t>G4G Order:</t>
  </si>
  <si>
    <t>Print Text or image description</t>
  </si>
  <si>
    <t>ENGRAVING</t>
  </si>
  <si>
    <t>Location</t>
  </si>
  <si>
    <t>G20 Gen5 MOS - 10mm</t>
  </si>
  <si>
    <t>G49 MOS - 9mm</t>
  </si>
  <si>
    <t>Top-Rear Sight - NOT on MOS</t>
  </si>
  <si>
    <t>CONTACT INFORMATION</t>
  </si>
  <si>
    <t>Factory-Installed Sights</t>
  </si>
  <si>
    <t>OWNER NAME:</t>
  </si>
  <si>
    <t>EMAIL:</t>
  </si>
  <si>
    <t>SUBTOTAL</t>
  </si>
  <si>
    <t>ORDER SUMMARY - ONE GUN PER FORM</t>
  </si>
  <si>
    <t>CITY</t>
  </si>
  <si>
    <t>STATE</t>
  </si>
  <si>
    <t>ZIP</t>
  </si>
  <si>
    <t>PHONE</t>
  </si>
  <si>
    <t>G4GRADS ORDER FORM</t>
  </si>
  <si>
    <t>Magazines</t>
  </si>
  <si>
    <t>Qty</t>
  </si>
  <si>
    <t>TX</t>
  </si>
  <si>
    <t>Colorado Springs</t>
  </si>
  <si>
    <t>THE OWNER MUST PICK UP GUN FROM FFL - No Substitutes.</t>
  </si>
  <si>
    <t>FFL CITY</t>
  </si>
  <si>
    <t>FFL PHONE</t>
  </si>
  <si>
    <t>FFL Address</t>
  </si>
  <si>
    <t>FFL Name</t>
  </si>
  <si>
    <t>972-423-9004</t>
  </si>
  <si>
    <t>Dallas</t>
  </si>
  <si>
    <t>CosSprings</t>
  </si>
  <si>
    <t>Other</t>
  </si>
  <si>
    <t>J&amp;C Consulting, LLC</t>
  </si>
  <si>
    <t>M2M Services, LLC</t>
  </si>
  <si>
    <t>3801 Nutwood Lane</t>
  </si>
  <si>
    <t>Plano</t>
  </si>
  <si>
    <t>16164 Pole Pine Point</t>
  </si>
  <si>
    <t>CO</t>
  </si>
  <si>
    <t>719-602-1219</t>
  </si>
  <si>
    <t xml:space="preserve"> </t>
  </si>
  <si>
    <t>Green tabs are for user input</t>
  </si>
  <si>
    <t>Yellow tabs have lookup data</t>
  </si>
  <si>
    <t>Accessories</t>
  </si>
  <si>
    <t>Display case (incl. shipping)</t>
  </si>
  <si>
    <t>Unit price</t>
  </si>
  <si>
    <t>Non-standard items</t>
  </si>
  <si>
    <t>Extra shipping</t>
  </si>
  <si>
    <t>Shipping/Handling</t>
  </si>
  <si>
    <t>TAXABLE SUBTOTAL</t>
  </si>
  <si>
    <t>BILLING SUMMARY</t>
  </si>
  <si>
    <t>Credit Card Number</t>
  </si>
  <si>
    <t>Expiry Date</t>
  </si>
  <si>
    <t>MM &amp; YY</t>
  </si>
  <si>
    <t>Security Code</t>
  </si>
  <si>
    <t>Sales Tax</t>
  </si>
  <si>
    <t>Amex</t>
  </si>
  <si>
    <t>Credit cards first digit</t>
  </si>
  <si>
    <t>Discover</t>
  </si>
  <si>
    <t>Mastercard</t>
  </si>
  <si>
    <t>Visa</t>
  </si>
  <si>
    <t>American Express, Discover, MasterCard or Visa</t>
  </si>
  <si>
    <t>Delivery State</t>
  </si>
  <si>
    <t>State</t>
  </si>
  <si>
    <t>Rate</t>
  </si>
  <si>
    <t>Sales Tax Rate</t>
  </si>
  <si>
    <t>Texas</t>
  </si>
  <si>
    <t>Tex</t>
  </si>
  <si>
    <t>TOTAL PRICE</t>
  </si>
  <si>
    <t>Card Holder's Name</t>
  </si>
  <si>
    <t>Date</t>
  </si>
  <si>
    <t>CREDIT CARD INFORMATION</t>
  </si>
  <si>
    <t>ORDER NO.</t>
  </si>
  <si>
    <t>SERIAL NO.</t>
  </si>
  <si>
    <t>RESERVED</t>
  </si>
  <si>
    <t>Federal Firearms License (FFL) Dealer Info REQUIRED - submit copy of FFL license unless using Colorado Springs or Dallas FFL</t>
  </si>
  <si>
    <t>BILLING ADDRESS FOR CARD OWNER</t>
  </si>
  <si>
    <t>KIESLER</t>
  </si>
  <si>
    <t>COLE</t>
  </si>
  <si>
    <t>FFL</t>
  </si>
  <si>
    <t>Do not edit or move cell A1 - needed for automatic FFL form fill</t>
  </si>
  <si>
    <t>FFL  button</t>
  </si>
  <si>
    <t>DO NOT EDIT OR MOVE THESE CELLS</t>
  </si>
  <si>
    <t>Owner phone:</t>
  </si>
  <si>
    <r>
      <t>1. YOU are responsible</t>
    </r>
    <r>
      <rPr>
        <sz val="12"/>
        <color theme="1"/>
        <rFont val="ArialMT"/>
      </rPr>
      <t xml:space="preserve"> for the exact printing.   </t>
    </r>
  </si>
  <si>
    <t>REMEMBER TO ATTACH YOUR ARTWORK</t>
  </si>
  <si>
    <t>VIEW / GRIDLINES (uncheck)</t>
  </si>
  <si>
    <t>User should be allowed ONLY to select Unlocked Cells</t>
  </si>
  <si>
    <t>VIEW / HEADINGS (uncheck)</t>
  </si>
  <si>
    <t>Turn off headings view</t>
  </si>
  <si>
    <t>Position Cursor in the first box to be filled:</t>
  </si>
  <si>
    <t>Turn off gridline view (VIEW Menu in toolbar ribbon)</t>
  </si>
  <si>
    <t>FORMAT / SHEET / UNHIDE</t>
  </si>
  <si>
    <t>You must email artwork and proof of eligibility with your order.  Instructions are on those tabs.</t>
  </si>
  <si>
    <t>Working Notes (for Chris only)</t>
  </si>
  <si>
    <t>MAINTAINING THE FORM</t>
  </si>
  <si>
    <t>DOWNLOAD THIS WORKBOOK to your computer.</t>
  </si>
  <si>
    <t>You must submit your completed workbook via email to:  info@g4grads.com</t>
  </si>
  <si>
    <t>By law, the owner is the only person who may pick up the gun from the FFL.</t>
  </si>
  <si>
    <t>INSTRUCTIONS WHEN RECEIVING FORM FROM CLIENT:</t>
  </si>
  <si>
    <t>INSTRUCTIONS FOR SUBMITTING TO KIESLER:</t>
  </si>
  <si>
    <t>INSTRUCTIONS FOR SUBMITTING TO COLE:</t>
  </si>
  <si>
    <t>PREPARE THE VIEW THAT THE USER SEES:</t>
  </si>
  <si>
    <t>Do not save over the master file.</t>
  </si>
  <si>
    <t>Save updated file with new name/version date.</t>
  </si>
  <si>
    <t>Page Version:</t>
  </si>
  <si>
    <t>G4Grads Program</t>
  </si>
  <si>
    <t>LE / Military Purchase Program</t>
  </si>
  <si>
    <t>Eligibility / Credentials Verification Form</t>
  </si>
  <si>
    <t xml:space="preserve">NAME OF ELIGIBLE PERSON: </t>
  </si>
  <si>
    <t>Order #:</t>
  </si>
  <si>
    <t xml:space="preserve">Date Verified:  </t>
  </si>
  <si>
    <t xml:space="preserve">Comments (as necessary):  </t>
  </si>
  <si>
    <t>Please cover the bar code / QR code on ID when copying.</t>
  </si>
  <si>
    <t>(Must show valid Military / LE ID for either purchaser or gift recipient.</t>
  </si>
  <si>
    <r>
      <t>PURCHASER:</t>
    </r>
    <r>
      <rPr>
        <sz val="14"/>
        <color theme="1"/>
        <rFont val="Arial"/>
        <family val="2"/>
      </rPr>
      <t xml:space="preserve">  </t>
    </r>
  </si>
  <si>
    <r>
      <t>(</t>
    </r>
    <r>
      <rPr>
        <u/>
        <sz val="11"/>
        <color theme="1"/>
        <rFont val="Arial"/>
        <family val="2"/>
      </rPr>
      <t>To be completed by G4G</t>
    </r>
    <r>
      <rPr>
        <sz val="11"/>
        <color theme="1"/>
        <rFont val="Arial"/>
        <family val="2"/>
      </rPr>
      <t>)</t>
    </r>
  </si>
  <si>
    <t>G29 Gen5 MOS - 10mm</t>
  </si>
  <si>
    <r>
      <t>AGENCY / BRANCH:</t>
    </r>
    <r>
      <rPr>
        <sz val="14"/>
        <color theme="1"/>
        <rFont val="Arial"/>
        <family val="2"/>
      </rPr>
      <t xml:space="preserve">  </t>
    </r>
  </si>
  <si>
    <r>
      <t>POSITION / RANK:</t>
    </r>
    <r>
      <rPr>
        <sz val="14"/>
        <color theme="1"/>
        <rFont val="Arial"/>
        <family val="2"/>
      </rPr>
      <t xml:space="preserve">  </t>
    </r>
  </si>
  <si>
    <r>
      <t>ADDRESS:</t>
    </r>
    <r>
      <rPr>
        <sz val="14"/>
        <color theme="1"/>
        <rFont val="Arial"/>
        <family val="2"/>
      </rPr>
      <t xml:space="preserve">  </t>
    </r>
  </si>
  <si>
    <r>
      <t xml:space="preserve">Email a copy or scan </t>
    </r>
    <r>
      <rPr>
        <u/>
        <sz val="14"/>
        <color theme="1"/>
        <rFont val="Arial"/>
        <family val="2"/>
      </rPr>
      <t>front (only)</t>
    </r>
    <r>
      <rPr>
        <sz val="14"/>
        <color theme="1"/>
        <rFont val="Arial"/>
        <family val="2"/>
      </rPr>
      <t xml:space="preserve"> of Military / LE ID </t>
    </r>
    <r>
      <rPr>
        <u/>
        <sz val="14"/>
        <color theme="1"/>
        <rFont val="Arial"/>
        <family val="2"/>
      </rPr>
      <t>with this order form.</t>
    </r>
  </si>
  <si>
    <r>
      <t>PHONE #</t>
    </r>
    <r>
      <rPr>
        <sz val="14"/>
        <color theme="1"/>
        <rFont val="Arial"/>
        <family val="2"/>
      </rPr>
      <t>:</t>
    </r>
  </si>
  <si>
    <r>
      <t>DATE:</t>
    </r>
    <r>
      <rPr>
        <sz val="14"/>
        <color theme="1"/>
        <rFont val="Arial"/>
        <family val="2"/>
      </rPr>
      <t xml:space="preserve">  </t>
    </r>
  </si>
  <si>
    <r>
      <t>Typed / Electronic Signature:</t>
    </r>
    <r>
      <rPr>
        <sz val="14"/>
        <color theme="1"/>
        <rFont val="Arial"/>
        <family val="2"/>
      </rPr>
      <t xml:space="preserve"> </t>
    </r>
  </si>
  <si>
    <t>Print Engraving tab to .pdf file.  Send .pdf file to Cole along with artwork.</t>
  </si>
  <si>
    <r>
      <rPr>
        <b/>
        <sz val="12"/>
        <color theme="1"/>
        <rFont val="ArialMT"/>
      </rPr>
      <t xml:space="preserve">2. We do not provide or sell artwork.   You must submit any artwork other than the standard class gun.   </t>
    </r>
    <r>
      <rPr>
        <sz val="12"/>
        <color theme="1"/>
        <rFont val="ArialMT"/>
      </rPr>
      <t xml:space="preserve">Email a high resolution vector drawing, line drawing or image of all engraving artwork with your order form.  </t>
    </r>
  </si>
  <si>
    <t>Pricing as of:</t>
  </si>
  <si>
    <t>SEND FOR ENGRAVINGS?</t>
  </si>
  <si>
    <t>G4G Order No</t>
  </si>
  <si>
    <t>G4G Contact:</t>
  </si>
  <si>
    <t>Mark Owens</t>
  </si>
  <si>
    <t>mark@g4grads.com</t>
  </si>
  <si>
    <t>Phone:</t>
  </si>
  <si>
    <t>214-729-0959</t>
  </si>
  <si>
    <t>Kiesler Order Date:</t>
  </si>
  <si>
    <t>MODEL</t>
  </si>
  <si>
    <t>Special Comments</t>
  </si>
  <si>
    <t>Blue cells are for G4G inputs</t>
  </si>
  <si>
    <t>Green cells are for customer inputs</t>
  </si>
  <si>
    <t>All pricing is updated from one of the two yellow tabs, using only the blue cells</t>
  </si>
  <si>
    <t>Kiesler order form checks which accessories</t>
  </si>
  <si>
    <t>typed exactly and correctly.</t>
  </si>
  <si>
    <t>are supplied by Kiesler.  Kiesler name must be</t>
  </si>
  <si>
    <t>GLOBAL PROTECTION</t>
  </si>
  <si>
    <t>Protect the workbook using the pre-agreed password</t>
  </si>
  <si>
    <t>ONLY CHRIS should make structure changes, including moving any cells</t>
  </si>
  <si>
    <t>Ensure there are no data in any green or blue cell.</t>
  </si>
  <si>
    <t>Input the date on which form is sent to Kiesler</t>
  </si>
  <si>
    <t>Print the tab to .pdf and send the .pdf file to Kiesler.</t>
  </si>
  <si>
    <t>FILE / SAVE AS</t>
  </si>
  <si>
    <t>Right click tab / PROTECT (no password)</t>
  </si>
  <si>
    <t>DISPLAY CASE</t>
  </si>
  <si>
    <t>INPUT FORM - Fill in blue cell, order number</t>
  </si>
  <si>
    <t>Unprotect sheet if you need to edit something the client entered</t>
  </si>
  <si>
    <t>Right click specific tab, Unprotect</t>
  </si>
  <si>
    <t>Unprotect the workbook using pre-agreed password</t>
  </si>
  <si>
    <t>Right click each tab/Hide</t>
  </si>
  <si>
    <t>G21 Gen4 - .45ACP</t>
  </si>
  <si>
    <t>G21 Gen5 MOS - .45ACP</t>
  </si>
  <si>
    <t>G21SF  - .45ACP</t>
  </si>
  <si>
    <t>G30 Gen4 - .45ACP</t>
  </si>
  <si>
    <t>G30 Gen5 - .45ACP</t>
  </si>
  <si>
    <t>G30S  - .45ACP</t>
  </si>
  <si>
    <t>G30SF  - .45ACP</t>
  </si>
  <si>
    <t>G36  - .45ACP</t>
  </si>
  <si>
    <t>G41 Gen4 - .45ACP</t>
  </si>
  <si>
    <t>G41 Gen4 MOS - .45ACP</t>
  </si>
  <si>
    <t>G31 Gen4 - .357 cal</t>
  </si>
  <si>
    <t>G32 Gen4 - .357 cal</t>
  </si>
  <si>
    <t>G33 Gen4 - .357 cal</t>
  </si>
  <si>
    <t>1. Add new models by inserting a new line (in correct alphabetical location).   New line must be within the range of existing lines</t>
  </si>
  <si>
    <t>2. When adding a new model name, everything after the dash is truncated on the Engraving sheet</t>
  </si>
  <si>
    <t>3. Follow the syntax used.   Caliber is preceded by (space)(dash)(space) " - "</t>
  </si>
  <si>
    <t>4. Only columns D-G and I are used in calculations.</t>
  </si>
  <si>
    <t>5.  Data must be in alphabetical order based on Column D</t>
  </si>
  <si>
    <t>MAINTENANCE INSTRUCTIONS</t>
  </si>
  <si>
    <r>
      <t xml:space="preserve">MODEL: </t>
    </r>
    <r>
      <rPr>
        <sz val="9"/>
        <color theme="1"/>
        <rFont val="ArialMT"/>
      </rPr>
      <t>(Press delete to clear)</t>
    </r>
  </si>
  <si>
    <t>(Press delete to clear choice)</t>
  </si>
  <si>
    <t>DISPLAY CASE REQUESTED ON ORDER FORM?</t>
  </si>
  <si>
    <t>Magazine</t>
  </si>
  <si>
    <t>Display case</t>
  </si>
  <si>
    <t>Yes</t>
  </si>
  <si>
    <t>Price</t>
  </si>
  <si>
    <t>Name</t>
  </si>
  <si>
    <t>Source</t>
  </si>
  <si>
    <t>generic match</t>
  </si>
  <si>
    <t>Wildcard match</t>
  </si>
  <si>
    <t>Row</t>
  </si>
  <si>
    <t>Returned value</t>
  </si>
  <si>
    <t>Match</t>
  </si>
  <si>
    <t>Lookup</t>
  </si>
  <si>
    <t>Yes/No</t>
  </si>
  <si>
    <t>Combined</t>
  </si>
  <si>
    <t>This sheet</t>
  </si>
  <si>
    <t>Input Form</t>
  </si>
  <si>
    <t>Address1</t>
  </si>
  <si>
    <t>Address2</t>
  </si>
  <si>
    <t>City</t>
  </si>
  <si>
    <t>Zip Code</t>
  </si>
  <si>
    <t>CARD HOLDER ADDRESS</t>
  </si>
  <si>
    <t>SHIPPING ADDRESS FOR DISPLAY CASE</t>
  </si>
  <si>
    <t>SHIPPING ADDRESS IF DIFFERENT:</t>
  </si>
  <si>
    <t>If this says no, return to the Input Form and change Display Case Quantity in Accessories</t>
  </si>
  <si>
    <t>By submitting the above information I electronically certify that I am eligible to participate in the G4Grads LE / Military program</t>
  </si>
  <si>
    <t>Display case engravings</t>
  </si>
  <si>
    <t>Call or text John at 972-423-9004 to finalize the details of your display case engraving.</t>
  </si>
  <si>
    <t>Engraving Description:</t>
  </si>
  <si>
    <t>Number of Engravings</t>
  </si>
  <si>
    <t>Total price</t>
  </si>
  <si>
    <r>
      <t xml:space="preserve">IF YOU CHANGE THE MODEL, YOU </t>
    </r>
    <r>
      <rPr>
        <b/>
        <sz val="11"/>
        <color rgb="FF0432FF"/>
        <rFont val="Arial Narrow"/>
        <family val="2"/>
      </rPr>
      <t>MUST</t>
    </r>
    <r>
      <rPr>
        <sz val="11"/>
        <color rgb="FF0432FF"/>
        <rFont val="Arial Narrow"/>
        <family val="2"/>
      </rPr>
      <t xml:space="preserve"> RESELECT THE SIGHT FROM THE PULL-DOWN MENU BELOW.  IT DOES NOT UPDATE THE CHOICES AUTOMATICALLY.</t>
    </r>
  </si>
  <si>
    <t>Protect sheet with pre-agreed password (all uppercase)</t>
  </si>
  <si>
    <t>Right click tab / PROTECT (use password)</t>
  </si>
  <si>
    <t>SAVE A COPY OF THE MASTER WORKBOOK</t>
  </si>
  <si>
    <t>(For example, G4Grads_orders_2024_0531)</t>
  </si>
  <si>
    <t>PROTECT SHEET</t>
  </si>
  <si>
    <t>Password protection is also required at the workbook level.</t>
  </si>
  <si>
    <t>GO TO THE INSTRUCTIONS SHEET SO IT'S THE FIRST THING THE USER SEES</t>
  </si>
  <si>
    <t>Make the below changes to this new file.</t>
  </si>
  <si>
    <t>PREPARING FORM FOR CLIENT - INSTRUCTIONS BEFORE PUBLISHING FORM:</t>
  </si>
  <si>
    <t>* On other cells, including the model and sight pulldown menus, use the delete button - Do not make the cell blank by typing spaces.</t>
  </si>
  <si>
    <t>Set Zoom to 125% (150% for Instructions tab)</t>
  </si>
  <si>
    <t>Instructions:   $A$1</t>
  </si>
  <si>
    <t>Fill in the workbook on your computer.  You must fill in EACH of the three dark green tabs 
(1 Input_Form, 2 Engraving, 3 Eligibility)</t>
  </si>
  <si>
    <t xml:space="preserve">Use the pale green tab - 4 DISPLAY CASE - only if you are ordering a display case.  </t>
  </si>
  <si>
    <t>1 Input Form:   $N$4 - Gun model</t>
  </si>
  <si>
    <t>3 Eligibility: $D$9 - Purchaser</t>
  </si>
  <si>
    <t>4 Display Case: $e$14 - Shipping address</t>
  </si>
  <si>
    <t>REVIEW / PROTECT WORKBOOK (password)</t>
  </si>
  <si>
    <t>For EACH green tab and white-tab Instructions (5 tabs total)</t>
  </si>
  <si>
    <t>Protect the orange Kiesler tab</t>
  </si>
  <si>
    <t>* On the 1 INPUT FORM, click OTHER FFL to blank those cells.  DO NOT USE THE DELETE KEY!</t>
  </si>
  <si>
    <t>REVIEW / UNPROTECT WORKBOOK</t>
  </si>
  <si>
    <t>Protect sheets using the pre-agreed password (all upper-case).   A protected sheet shows a lock and can be unprotected from the menu, or by right-clicking the tab name.</t>
  </si>
  <si>
    <t>New guns can be added by inserting lines on the Gun Pricing tab.   They should be inserted in alphabetical order.</t>
  </si>
  <si>
    <t>After clarifying display case requirements with customer, print Display case tab to .pdf file and send to Cole along with artwork.</t>
  </si>
  <si>
    <t>Last Name</t>
  </si>
  <si>
    <t>First Name</t>
  </si>
  <si>
    <t>Order #</t>
  </si>
  <si>
    <t>Kiesler Order</t>
  </si>
  <si>
    <t>Kiesler Invoice</t>
  </si>
  <si>
    <t>Serial #</t>
  </si>
  <si>
    <t>Model</t>
  </si>
  <si>
    <t>night sights</t>
  </si>
  <si>
    <t>add'l mags</t>
  </si>
  <si>
    <t>other</t>
  </si>
  <si>
    <t>order to K</t>
  </si>
  <si>
    <t>bck ordrd</t>
  </si>
  <si>
    <t>K to engraver</t>
  </si>
  <si>
    <t>K to FFL</t>
  </si>
  <si>
    <t>tracking to engraver</t>
  </si>
  <si>
    <t>tracking to FFL</t>
  </si>
  <si>
    <t>ETA</t>
  </si>
  <si>
    <t>AMG</t>
  </si>
  <si>
    <t>Spreadsheet conversions</t>
  </si>
  <si>
    <t>SIGHTS</t>
  </si>
  <si>
    <t>This spreadsheet</t>
  </si>
  <si>
    <t>Order tracking</t>
  </si>
  <si>
    <t>Adj</t>
  </si>
  <si>
    <t>FS</t>
  </si>
  <si>
    <t>adj</t>
  </si>
  <si>
    <t>OWNER NAME (First/Last)</t>
  </si>
  <si>
    <t>Copy cells from tracking transfer and insert into tracking spreadsheet (ORDER SUMMARY)</t>
  </si>
  <si>
    <t>COPY / Paste SPECIAL / Values</t>
  </si>
  <si>
    <t>Unhide Kiesler and OS_Transfer tabs (Order Summary transfer).  Other tabs are not required.</t>
  </si>
  <si>
    <t>Right click any tab, Unhide Kiesler &amp; OS_Transfer</t>
  </si>
  <si>
    <t>All cells auto-fill except the two blue cells, which are for G4G inputs.  Tab does not need to be unprotected.</t>
  </si>
  <si>
    <t>Version:</t>
  </si>
  <si>
    <t>Workbook Version:</t>
  </si>
  <si>
    <t>If you highlight cells a3:J3, you can COPY / PASTE SPECIAL (VALUES) and it will slide directly into your tracking spreadsheet</t>
  </si>
  <si>
    <t>Versions</t>
  </si>
  <si>
    <t>1 Input_Form</t>
  </si>
  <si>
    <t>2 Engraving</t>
  </si>
  <si>
    <t>3 Eligibility</t>
  </si>
  <si>
    <t>4 Display Case</t>
  </si>
  <si>
    <t>Kiesler</t>
  </si>
  <si>
    <t>Option pricing</t>
  </si>
  <si>
    <t>Gun pricing</t>
  </si>
  <si>
    <t>G4G instructions</t>
  </si>
  <si>
    <t>OS_Transfer</t>
  </si>
  <si>
    <t>Page</t>
  </si>
  <si>
    <t>Workbook</t>
  </si>
  <si>
    <t>WORKBOOK</t>
  </si>
  <si>
    <t>* Each tab has a date version on it.  When we make initial release I will set all of those to initial release date.   After that I will change them individually.   </t>
  </si>
  <si>
    <t>* Workbook version is automatically assigned as the latest date of all the tab versions.</t>
  </si>
  <si>
    <t>CONFIGURATION CONTROL:</t>
  </si>
  <si>
    <t>* Filename will contain the workbook version date.</t>
  </si>
  <si>
    <t>ENGRAVINGS SHEET</t>
  </si>
  <si>
    <t>THIS TAB CONTAINS INTERMEDIATE CELLS THAT ARE NEEDED FOR CALCULATIONS ELSEWHERE.</t>
  </si>
  <si>
    <t>THEY ARE ON THIS TAB SO THEY AREN'T VISIBLE TO USERS.</t>
  </si>
  <si>
    <t>DON'T MESS WITH ANYTHING UNLESS IT'S IN A BLUE CELL</t>
  </si>
  <si>
    <t>ENGRAVINGS WITH ONLY 1 -3 SPACE AND NO TEXT</t>
  </si>
  <si>
    <t>TAB USED:</t>
  </si>
  <si>
    <t>OS TRANSFER</t>
  </si>
  <si>
    <t>1 INPUT FORM</t>
  </si>
  <si>
    <t>BILLING ADDRESS VS SHIPPING ADDRESS CHECK</t>
  </si>
  <si>
    <t>2 ENGRAVING</t>
  </si>
  <si>
    <t>For all non-user tabs: (2 Yellow, 1 Orange, 4 Red):</t>
  </si>
  <si>
    <t>Hide all 7 tabs</t>
  </si>
  <si>
    <t>SAVE THE FILE  with your last name and gun model in the filename (e.g., Jones_G19x)</t>
  </si>
  <si>
    <t>Owner Phone:</t>
  </si>
  <si>
    <t>OWNER NAME (first, last):</t>
  </si>
  <si>
    <t>Owner email:</t>
  </si>
  <si>
    <t>2 Engraving: $D$8 - first engraving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</si>
</sst>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"/>
    <numFmt numFmtId="165" formatCode="&quot;$&quot;#,##0.00"/>
    <numFmt numFmtId="166" formatCode="m/d/yy;@"/>
  </numFmts>
  <fonts count="58">
    <font>
      <sz val="12"/>
      <color theme="1"/>
      <name val="ArialMT"/>
      <family val="2"/>
    </font>
    <font>
      <sz val="12"/>
      <color theme="1"/>
      <name val="ArialMT"/>
      <family val="2"/>
    </font>
    <font>
      <b/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u/>
      <sz val="12"/>
      <color theme="1"/>
      <name val="ArialMT"/>
    </font>
    <font>
      <b/>
      <sz val="12"/>
      <color theme="1"/>
      <name val="ArialMT"/>
    </font>
    <font>
      <u/>
      <sz val="12"/>
      <color theme="10"/>
      <name val="ArialMT"/>
      <family val="2"/>
    </font>
    <font>
      <sz val="12"/>
      <name val="ArialMT"/>
    </font>
    <font>
      <b/>
      <sz val="12"/>
      <name val="ArialMT"/>
    </font>
    <font>
      <sz val="11"/>
      <color theme="1"/>
      <name val="ArialMT"/>
    </font>
    <font>
      <b/>
      <sz val="11"/>
      <color theme="1"/>
      <name val="ArialMT"/>
    </font>
    <font>
      <b/>
      <sz val="14"/>
      <color theme="1"/>
      <name val="ArialMT"/>
    </font>
    <font>
      <sz val="11"/>
      <color theme="1"/>
      <name val="ArialMT"/>
      <family val="2"/>
    </font>
    <font>
      <b/>
      <sz val="11"/>
      <color rgb="FFFF0000"/>
      <name val="ArialMT"/>
    </font>
    <font>
      <b/>
      <sz val="11"/>
      <color theme="1"/>
      <name val="Arial Narrow"/>
      <family val="2"/>
    </font>
    <font>
      <sz val="24"/>
      <color theme="1"/>
      <name val="Arial Black"/>
      <family val="2"/>
    </font>
    <font>
      <b/>
      <sz val="12"/>
      <color theme="1"/>
      <name val="Arial Narrow"/>
      <family val="2"/>
    </font>
    <font>
      <u/>
      <sz val="12"/>
      <color theme="1"/>
      <name val="ArialMT"/>
    </font>
    <font>
      <sz val="12"/>
      <color theme="1"/>
      <name val="ArialMT"/>
    </font>
    <font>
      <b/>
      <sz val="12"/>
      <color theme="1"/>
      <name val="Arial Narrow Bold"/>
    </font>
    <font>
      <b/>
      <sz val="11"/>
      <color theme="1"/>
      <name val="Arial Narrow Bold"/>
    </font>
    <font>
      <sz val="12"/>
      <color rgb="FFFF0000"/>
      <name val="ArialMT"/>
      <family val="2"/>
    </font>
    <font>
      <i/>
      <sz val="12"/>
      <color theme="1"/>
      <name val="ArialMT"/>
    </font>
    <font>
      <sz val="10"/>
      <color theme="1"/>
      <name val="ArialMT"/>
      <family val="2"/>
    </font>
    <font>
      <b/>
      <sz val="12"/>
      <color rgb="FFFF0000"/>
      <name val="ArialMT"/>
    </font>
    <font>
      <b/>
      <sz val="12"/>
      <color rgb="FF0432FF"/>
      <name val="ArialMT"/>
    </font>
    <font>
      <sz val="14"/>
      <color theme="1"/>
      <name val="ArialMT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i/>
      <sz val="14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u/>
      <sz val="14"/>
      <color theme="1"/>
      <name val="Arial"/>
      <family val="2"/>
    </font>
    <font>
      <sz val="14"/>
      <color theme="1"/>
      <name val="ArialMT"/>
      <family val="2"/>
    </font>
    <font>
      <i/>
      <sz val="24"/>
      <color theme="1"/>
      <name val="Arial Bold"/>
    </font>
    <font>
      <b/>
      <sz val="12"/>
      <color theme="1"/>
      <name val="ArialMT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color theme="1"/>
      <name val="ArialMT"/>
    </font>
    <font>
      <sz val="9"/>
      <color theme="1"/>
      <name val="ArialMT"/>
      <family val="2"/>
    </font>
    <font>
      <b/>
      <sz val="16"/>
      <color theme="1"/>
      <name val="ArialMT"/>
    </font>
    <font>
      <sz val="11"/>
      <color rgb="FF0432FF"/>
      <name val="Arial Narrow"/>
      <family val="2"/>
    </font>
    <font>
      <b/>
      <sz val="11"/>
      <color rgb="FF0432FF"/>
      <name val="Arial Narrow"/>
      <family val="2"/>
    </font>
    <font>
      <i/>
      <sz val="11"/>
      <color theme="1"/>
      <name val="ArialMT"/>
    </font>
    <font>
      <u/>
      <sz val="10"/>
      <color theme="1"/>
      <name val="Arial"/>
      <family val="2"/>
    </font>
    <font>
      <sz val="12"/>
      <color rgb="FF0432FF"/>
      <name val="ArialMT"/>
      <family val="2"/>
    </font>
    <font>
      <b/>
      <sz val="11"/>
      <color rgb="FF0432FF"/>
      <name val="ArialMT"/>
    </font>
    <font>
      <sz val="11"/>
      <color rgb="FF000000"/>
      <name val="Arial"/>
      <family val="2"/>
    </font>
    <font>
      <u/>
      <sz val="11"/>
      <color theme="10"/>
      <name val="ArialMT"/>
      <family val="2"/>
    </font>
    <font>
      <sz val="13"/>
      <color rgb="FF000000"/>
      <name val="Lucida Grande"/>
    </font>
  </fonts>
  <fills count="18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rgb="FFFF7C8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F0FB"/>
        <bgColor indexed="64"/>
      </patternFill>
    </fill>
    <fill>
      <patternFill patternType="lightUp">
        <fgColor rgb="FFFF0000"/>
        <b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double">
        <color auto="1"/>
      </right>
      <top style="thin">
        <color auto="1"/>
      </top>
      <bottom style="thin">
        <color theme="0" tint="-0.499984740745262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rgb="FFFF0000"/>
      </left>
      <right/>
      <top style="medium">
        <color rgb="FFFF0000"/>
      </top>
      <bottom style="dotted">
        <color indexed="64"/>
      </bottom>
      <diagonal/>
    </border>
    <border>
      <left/>
      <right/>
      <top style="medium">
        <color rgb="FFFF0000"/>
      </top>
      <bottom style="dotted">
        <color indexed="64"/>
      </bottom>
      <diagonal/>
    </border>
    <border>
      <left/>
      <right style="medium">
        <color rgb="FFFF0000"/>
      </right>
      <top style="medium">
        <color rgb="FFFF0000"/>
      </top>
      <bottom style="dotted">
        <color indexed="64"/>
      </bottom>
      <diagonal/>
    </border>
    <border>
      <left style="medium">
        <color rgb="FFFF0000"/>
      </left>
      <right/>
      <top/>
      <bottom style="dotted">
        <color indexed="64"/>
      </bottom>
      <diagonal/>
    </border>
    <border>
      <left/>
      <right style="medium">
        <color rgb="FFFF0000"/>
      </right>
      <top/>
      <bottom style="dotted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/>
  </cellStyleXfs>
  <cellXfs count="53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43" fontId="3" fillId="0" borderId="0" xfId="1" applyFont="1"/>
    <xf numFmtId="0" fontId="3" fillId="0" borderId="0" xfId="3" applyFont="1"/>
    <xf numFmtId="0" fontId="4" fillId="0" borderId="0" xfId="0" applyFont="1" applyAlignment="1">
      <alignment horizontal="left"/>
    </xf>
    <xf numFmtId="0" fontId="3" fillId="3" borderId="0" xfId="3" applyFont="1" applyFill="1" applyAlignment="1">
      <alignment horizontal="center"/>
    </xf>
    <xf numFmtId="10" fontId="3" fillId="0" borderId="0" xfId="2" applyNumberFormat="1" applyFont="1" applyFill="1" applyAlignment="1">
      <alignment horizontal="center"/>
    </xf>
    <xf numFmtId="16" fontId="5" fillId="0" borderId="0" xfId="0" applyNumberFormat="1" applyFont="1" applyAlignment="1">
      <alignment horizontal="center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 wrapText="1"/>
    </xf>
    <xf numFmtId="43" fontId="3" fillId="0" borderId="0" xfId="1" applyFont="1" applyAlignment="1">
      <alignment horizontal="right"/>
    </xf>
    <xf numFmtId="0" fontId="3" fillId="0" borderId="0" xfId="3" applyFont="1" applyAlignment="1">
      <alignment horizontal="right"/>
    </xf>
    <xf numFmtId="14" fontId="2" fillId="0" borderId="0" xfId="0" applyNumberFormat="1" applyFont="1"/>
    <xf numFmtId="0" fontId="0" fillId="0" borderId="2" xfId="0" applyBorder="1"/>
    <xf numFmtId="0" fontId="0" fillId="0" borderId="0" xfId="0" applyAlignment="1">
      <alignment wrapText="1"/>
    </xf>
    <xf numFmtId="0" fontId="9" fillId="0" borderId="0" xfId="4"/>
    <xf numFmtId="0" fontId="10" fillId="0" borderId="0" xfId="0" applyFont="1"/>
    <xf numFmtId="164" fontId="10" fillId="0" borderId="0" xfId="0" applyNumberFormat="1" applyFont="1"/>
    <xf numFmtId="0" fontId="11" fillId="0" borderId="0" xfId="0" applyFont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16" fontId="0" fillId="0" borderId="0" xfId="0" quotePrefix="1" applyNumberFormat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Alignment="1">
      <alignment horizontal="left" vertical="top"/>
    </xf>
    <xf numFmtId="0" fontId="8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/>
    <xf numFmtId="0" fontId="0" fillId="4" borderId="0" xfId="0" applyFill="1"/>
    <xf numFmtId="0" fontId="0" fillId="0" borderId="68" xfId="0" applyBorder="1" applyAlignment="1">
      <alignment horizontal="center" vertical="center"/>
    </xf>
    <xf numFmtId="0" fontId="0" fillId="0" borderId="69" xfId="0" applyBorder="1"/>
    <xf numFmtId="0" fontId="24" fillId="0" borderId="0" xfId="0" applyFont="1"/>
    <xf numFmtId="0" fontId="24" fillId="0" borderId="4" xfId="0" applyFont="1" applyBorder="1"/>
    <xf numFmtId="0" fontId="24" fillId="0" borderId="5" xfId="0" applyFont="1" applyBorder="1"/>
    <xf numFmtId="0" fontId="24" fillId="0" borderId="6" xfId="0" applyFont="1" applyBorder="1" applyAlignment="1">
      <alignment wrapText="1"/>
    </xf>
    <xf numFmtId="0" fontId="24" fillId="0" borderId="7" xfId="0" applyFont="1" applyBorder="1"/>
    <xf numFmtId="0" fontId="24" fillId="0" borderId="8" xfId="0" applyFont="1" applyBorder="1"/>
    <xf numFmtId="0" fontId="24" fillId="0" borderId="9" xfId="0" applyFont="1" applyBorder="1"/>
    <xf numFmtId="0" fontId="24" fillId="0" borderId="10" xfId="0" applyFont="1" applyBorder="1"/>
    <xf numFmtId="0" fontId="27" fillId="0" borderId="3" xfId="0" applyFont="1" applyBorder="1"/>
    <xf numFmtId="0" fontId="8" fillId="0" borderId="13" xfId="0" applyFont="1" applyBorder="1" applyAlignment="1">
      <alignment vertical="center"/>
    </xf>
    <xf numFmtId="0" fontId="15" fillId="0" borderId="1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28" fillId="0" borderId="0" xfId="0" applyFont="1" applyAlignment="1">
      <alignment vertical="top" wrapText="1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7" fillId="0" borderId="61" xfId="0" applyFont="1" applyBorder="1"/>
    <xf numFmtId="0" fontId="17" fillId="0" borderId="25" xfId="0" applyFont="1" applyBorder="1"/>
    <xf numFmtId="0" fontId="17" fillId="0" borderId="11" xfId="0" applyFont="1" applyBorder="1"/>
    <xf numFmtId="0" fontId="17" fillId="0" borderId="27" xfId="0" applyFont="1" applyBorder="1"/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0" fontId="0" fillId="6" borderId="0" xfId="0" applyFill="1" applyAlignment="1">
      <alignment horizontal="center"/>
    </xf>
    <xf numFmtId="0" fontId="17" fillId="0" borderId="0" xfId="0" applyFont="1"/>
    <xf numFmtId="0" fontId="8" fillId="6" borderId="0" xfId="0" applyFont="1" applyFill="1" applyAlignment="1">
      <alignment vertical="center"/>
    </xf>
    <xf numFmtId="0" fontId="0" fillId="6" borderId="0" xfId="0" applyFill="1"/>
    <xf numFmtId="0" fontId="0" fillId="6" borderId="0" xfId="0" applyFill="1" applyAlignment="1">
      <alignment vertical="top"/>
    </xf>
    <xf numFmtId="0" fontId="13" fillId="0" borderId="25" xfId="0" applyFont="1" applyBorder="1"/>
    <xf numFmtId="0" fontId="23" fillId="6" borderId="0" xfId="0" applyFont="1" applyFill="1" applyAlignment="1">
      <alignment horizontal="center"/>
    </xf>
    <xf numFmtId="0" fontId="8" fillId="0" borderId="11" xfId="0" applyFont="1" applyBorder="1" applyAlignment="1">
      <alignment horizontal="right"/>
    </xf>
    <xf numFmtId="0" fontId="13" fillId="6" borderId="0" xfId="0" applyFont="1" applyFill="1" applyAlignment="1">
      <alignment horizontal="center"/>
    </xf>
    <xf numFmtId="0" fontId="13" fillId="0" borderId="27" xfId="0" applyFont="1" applyBorder="1"/>
    <xf numFmtId="0" fontId="0" fillId="6" borderId="60" xfId="0" applyFill="1" applyBorder="1" applyAlignment="1">
      <alignment horizontal="center"/>
    </xf>
    <xf numFmtId="0" fontId="0" fillId="6" borderId="59" xfId="0" applyFill="1" applyBorder="1" applyAlignment="1">
      <alignment horizontal="center"/>
    </xf>
    <xf numFmtId="0" fontId="26" fillId="0" borderId="0" xfId="0" applyFont="1"/>
    <xf numFmtId="0" fontId="15" fillId="4" borderId="11" xfId="0" applyFont="1" applyFill="1" applyBorder="1" applyProtection="1">
      <protection locked="0"/>
    </xf>
    <xf numFmtId="0" fontId="15" fillId="4" borderId="26" xfId="0" applyFont="1" applyFill="1" applyBorder="1" applyProtection="1">
      <protection locked="0"/>
    </xf>
    <xf numFmtId="14" fontId="15" fillId="4" borderId="11" xfId="0" applyNumberFormat="1" applyFont="1" applyFill="1" applyBorder="1" applyAlignment="1" applyProtection="1">
      <alignment horizontal="center" vertical="center"/>
      <protection locked="0"/>
    </xf>
    <xf numFmtId="0" fontId="0" fillId="4" borderId="18" xfId="0" applyFill="1" applyBorder="1"/>
    <xf numFmtId="0" fontId="0" fillId="4" borderId="19" xfId="0" applyFill="1" applyBorder="1"/>
    <xf numFmtId="0" fontId="13" fillId="4" borderId="18" xfId="0" applyFont="1" applyFill="1" applyBorder="1"/>
    <xf numFmtId="0" fontId="15" fillId="4" borderId="0" xfId="0" applyFont="1" applyFill="1" applyAlignment="1">
      <alignment vertical="top"/>
    </xf>
    <xf numFmtId="0" fontId="15" fillId="4" borderId="19" xfId="0" applyFont="1" applyFill="1" applyBorder="1" applyAlignment="1">
      <alignment vertical="top"/>
    </xf>
    <xf numFmtId="0" fontId="29" fillId="0" borderId="0" xfId="0" applyFont="1"/>
    <xf numFmtId="0" fontId="13" fillId="0" borderId="0" xfId="0" applyFont="1"/>
    <xf numFmtId="14" fontId="26" fillId="0" borderId="0" xfId="0" applyNumberFormat="1" applyFont="1"/>
    <xf numFmtId="0" fontId="13" fillId="0" borderId="18" xfId="0" applyFont="1" applyBorder="1" applyAlignment="1">
      <alignment horizontal="left"/>
    </xf>
    <xf numFmtId="0" fontId="31" fillId="0" borderId="0" xfId="0" applyFont="1" applyAlignment="1">
      <alignment horizontal="left" vertical="top"/>
    </xf>
    <xf numFmtId="0" fontId="32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37" fillId="0" borderId="0" xfId="0" applyFont="1" applyAlignment="1">
      <alignment horizontal="left" vertical="top"/>
    </xf>
    <xf numFmtId="0" fontId="31" fillId="0" borderId="0" xfId="0" applyFont="1" applyAlignment="1">
      <alignment horizontal="center" vertical="top"/>
    </xf>
    <xf numFmtId="0" fontId="31" fillId="0" borderId="0" xfId="0" applyFont="1" applyAlignment="1">
      <alignment vertical="top"/>
    </xf>
    <xf numFmtId="0" fontId="32" fillId="0" borderId="0" xfId="0" applyFont="1" applyAlignment="1">
      <alignment vertical="top"/>
    </xf>
    <xf numFmtId="0" fontId="34" fillId="0" borderId="0" xfId="0" applyFont="1" applyAlignment="1">
      <alignment horizontal="left" vertical="top"/>
    </xf>
    <xf numFmtId="0" fontId="40" fillId="0" borderId="0" xfId="0" applyFont="1" applyAlignment="1">
      <alignment horizontal="left" vertical="top"/>
    </xf>
    <xf numFmtId="0" fontId="40" fillId="0" borderId="0" xfId="0" applyFont="1"/>
    <xf numFmtId="0" fontId="36" fillId="0" borderId="0" xfId="0" applyFont="1" applyAlignment="1">
      <alignment horizontal="left" vertical="top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6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3" fillId="0" borderId="23" xfId="0" applyFont="1" applyBorder="1" applyAlignment="1">
      <alignment horizontal="left" vertical="top"/>
    </xf>
    <xf numFmtId="0" fontId="31" fillId="0" borderId="23" xfId="0" applyFont="1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9" borderId="0" xfId="0" applyFill="1" applyAlignment="1">
      <alignment horizontal="center"/>
    </xf>
    <xf numFmtId="0" fontId="18" fillId="9" borderId="0" xfId="0" applyFont="1" applyFill="1"/>
    <xf numFmtId="0" fontId="14" fillId="9" borderId="0" xfId="0" applyFont="1" applyFill="1" applyAlignment="1">
      <alignment vertical="center"/>
    </xf>
    <xf numFmtId="0" fontId="14" fillId="9" borderId="0" xfId="0" applyFont="1" applyFill="1" applyAlignment="1">
      <alignment horizontal="center" vertical="center"/>
    </xf>
    <xf numFmtId="0" fontId="14" fillId="9" borderId="0" xfId="0" applyFont="1" applyFill="1"/>
    <xf numFmtId="0" fontId="0" fillId="9" borderId="0" xfId="0" applyFill="1"/>
    <xf numFmtId="0" fontId="0" fillId="9" borderId="0" xfId="0" applyFill="1" applyAlignment="1">
      <alignment vertical="center"/>
    </xf>
    <xf numFmtId="0" fontId="0" fillId="9" borderId="0" xfId="0" applyFill="1" applyAlignment="1">
      <alignment horizontal="left" vertical="top"/>
    </xf>
    <xf numFmtId="0" fontId="0" fillId="10" borderId="0" xfId="0" applyFill="1"/>
    <xf numFmtId="0" fontId="40" fillId="10" borderId="0" xfId="0" applyFont="1" applyFill="1"/>
    <xf numFmtId="0" fontId="0" fillId="10" borderId="0" xfId="0" applyFill="1" applyAlignment="1">
      <alignment vertical="center"/>
    </xf>
    <xf numFmtId="0" fontId="0" fillId="10" borderId="0" xfId="0" applyFill="1" applyAlignment="1">
      <alignment horizontal="left" vertical="top"/>
    </xf>
    <xf numFmtId="0" fontId="40" fillId="10" borderId="0" xfId="0" applyFont="1" applyFill="1" applyAlignment="1">
      <alignment horizontal="left" vertical="top"/>
    </xf>
    <xf numFmtId="0" fontId="0" fillId="10" borderId="0" xfId="0" applyFill="1" applyAlignment="1">
      <alignment horizontal="left" vertical="center"/>
    </xf>
    <xf numFmtId="14" fontId="40" fillId="4" borderId="11" xfId="0" applyNumberFormat="1" applyFont="1" applyFill="1" applyBorder="1" applyAlignment="1" applyProtection="1">
      <alignment horizontal="center" vertical="center"/>
      <protection locked="0"/>
    </xf>
    <xf numFmtId="0" fontId="0" fillId="8" borderId="11" xfId="0" applyFill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14" fontId="40" fillId="0" borderId="0" xfId="0" applyNumberFormat="1" applyFont="1" applyAlignment="1" applyProtection="1">
      <alignment horizontal="center" vertical="center"/>
      <protection locked="0"/>
    </xf>
    <xf numFmtId="0" fontId="36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left" vertical="top" wrapText="1"/>
      <protection locked="0"/>
    </xf>
    <xf numFmtId="0" fontId="26" fillId="0" borderId="0" xfId="0" applyFont="1" applyAlignment="1">
      <alignment wrapText="1"/>
    </xf>
    <xf numFmtId="14" fontId="26" fillId="0" borderId="0" xfId="0" applyNumberFormat="1" applyFont="1" applyAlignment="1">
      <alignment horizontal="left"/>
    </xf>
    <xf numFmtId="0" fontId="15" fillId="0" borderId="11" xfId="0" applyFont="1" applyBorder="1" applyAlignment="1">
      <alignment horizontal="left" vertical="center" wrapText="1"/>
    </xf>
    <xf numFmtId="0" fontId="0" fillId="5" borderId="0" xfId="0" applyFill="1"/>
    <xf numFmtId="0" fontId="0" fillId="4" borderId="11" xfId="0" applyFill="1" applyBorder="1" applyAlignment="1" applyProtection="1">
      <alignment horizontal="center"/>
      <protection locked="0"/>
    </xf>
    <xf numFmtId="0" fontId="15" fillId="0" borderId="0" xfId="0" applyFont="1"/>
    <xf numFmtId="14" fontId="3" fillId="0" borderId="0" xfId="0" applyNumberFormat="1" applyFont="1" applyAlignment="1">
      <alignment horizontal="center"/>
    </xf>
    <xf numFmtId="0" fontId="18" fillId="0" borderId="0" xfId="0" applyFont="1"/>
    <xf numFmtId="0" fontId="0" fillId="0" borderId="11" xfId="0" applyBorder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14" fillId="0" borderId="0" xfId="0" applyFont="1" applyAlignment="1">
      <alignment horizontal="left" vertical="center"/>
    </xf>
    <xf numFmtId="0" fontId="9" fillId="0" borderId="0" xfId="4" applyFill="1" applyBorder="1" applyAlignment="1" applyProtection="1">
      <alignment horizontal="left"/>
      <protection locked="0"/>
    </xf>
    <xf numFmtId="0" fontId="2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8" fillId="6" borderId="11" xfId="0" applyFont="1" applyFill="1" applyBorder="1"/>
    <xf numFmtId="0" fontId="8" fillId="6" borderId="11" xfId="0" applyFont="1" applyFill="1" applyBorder="1" applyAlignment="1">
      <alignment horizontal="center"/>
    </xf>
    <xf numFmtId="0" fontId="8" fillId="9" borderId="0" xfId="0" applyFont="1" applyFill="1" applyAlignment="1">
      <alignment horizontal="center" vertical="center"/>
    </xf>
    <xf numFmtId="0" fontId="21" fillId="9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43" fillId="0" borderId="0" xfId="0" applyFont="1"/>
    <xf numFmtId="0" fontId="31" fillId="0" borderId="0" xfId="0" applyFont="1"/>
    <xf numFmtId="0" fontId="42" fillId="0" borderId="0" xfId="0" applyFont="1" applyAlignment="1">
      <alignment horizontal="center"/>
    </xf>
    <xf numFmtId="0" fontId="0" fillId="0" borderId="0" xfId="0" applyAlignment="1" applyProtection="1">
      <alignment vertical="top"/>
      <protection locked="0"/>
    </xf>
    <xf numFmtId="14" fontId="21" fillId="0" borderId="0" xfId="0" applyNumberFormat="1" applyFont="1" applyAlignment="1" applyProtection="1">
      <alignment horizontal="center" vertical="center"/>
      <protection locked="0"/>
    </xf>
    <xf numFmtId="0" fontId="9" fillId="0" borderId="0" xfId="4" applyFill="1" applyBorder="1" applyAlignment="1" applyProtection="1">
      <alignment vertical="center"/>
      <protection locked="0"/>
    </xf>
    <xf numFmtId="0" fontId="8" fillId="6" borderId="41" xfId="0" applyFont="1" applyFill="1" applyBorder="1"/>
    <xf numFmtId="0" fontId="8" fillId="0" borderId="16" xfId="0" applyFont="1" applyBorder="1"/>
    <xf numFmtId="0" fontId="0" fillId="0" borderId="13" xfId="0" applyBorder="1" applyAlignment="1" applyProtection="1">
      <alignment horizontal="center"/>
      <protection locked="0"/>
    </xf>
    <xf numFmtId="14" fontId="21" fillId="7" borderId="11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right"/>
    </xf>
    <xf numFmtId="14" fontId="8" fillId="0" borderId="12" xfId="0" applyNumberFormat="1" applyFont="1" applyBorder="1"/>
    <xf numFmtId="0" fontId="8" fillId="0" borderId="14" xfId="0" applyFont="1" applyBorder="1"/>
    <xf numFmtId="0" fontId="0" fillId="7" borderId="3" xfId="0" applyFill="1" applyBorder="1" applyProtection="1">
      <protection locked="0"/>
    </xf>
    <xf numFmtId="0" fontId="0" fillId="7" borderId="5" xfId="0" applyFill="1" applyBorder="1" applyProtection="1">
      <protection locked="0"/>
    </xf>
    <xf numFmtId="0" fontId="0" fillId="7" borderId="6" xfId="0" applyFill="1" applyBorder="1" applyProtection="1">
      <protection locked="0"/>
    </xf>
    <xf numFmtId="0" fontId="0" fillId="7" borderId="7" xfId="0" applyFill="1" applyBorder="1" applyProtection="1">
      <protection locked="0"/>
    </xf>
    <xf numFmtId="0" fontId="3" fillId="0" borderId="0" xfId="0" applyFont="1" applyAlignment="1">
      <alignment vertical="top"/>
    </xf>
    <xf numFmtId="165" fontId="3" fillId="7" borderId="0" xfId="0" applyNumberFormat="1" applyFont="1" applyFill="1" applyAlignment="1" applyProtection="1">
      <alignment vertical="top"/>
      <protection locked="0"/>
    </xf>
    <xf numFmtId="0" fontId="3" fillId="7" borderId="0" xfId="0" applyFont="1" applyFill="1" applyAlignment="1" applyProtection="1">
      <alignment vertical="top"/>
      <protection locked="0"/>
    </xf>
    <xf numFmtId="0" fontId="0" fillId="7" borderId="0" xfId="0" applyFill="1" applyAlignment="1" applyProtection="1">
      <alignment vertical="top"/>
      <protection locked="0"/>
    </xf>
    <xf numFmtId="3" fontId="3" fillId="7" borderId="0" xfId="0" applyNumberFormat="1" applyFont="1" applyFill="1" applyAlignment="1" applyProtection="1">
      <alignment vertical="top"/>
      <protection locked="0"/>
    </xf>
    <xf numFmtId="0" fontId="3" fillId="7" borderId="0" xfId="0" applyFont="1" applyFill="1" applyAlignment="1" applyProtection="1">
      <alignment vertical="top" wrapText="1"/>
      <protection locked="0"/>
    </xf>
    <xf numFmtId="0" fontId="8" fillId="6" borderId="0" xfId="0" applyFont="1" applyFill="1"/>
    <xf numFmtId="0" fontId="14" fillId="11" borderId="0" xfId="0" applyFont="1" applyFill="1"/>
    <xf numFmtId="0" fontId="0" fillId="11" borderId="0" xfId="0" applyFill="1"/>
    <xf numFmtId="0" fontId="25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45" fillId="0" borderId="0" xfId="0" applyFont="1"/>
    <xf numFmtId="0" fontId="42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3" applyFont="1" applyBorder="1" applyAlignment="1">
      <alignment horizontal="center"/>
    </xf>
    <xf numFmtId="0" fontId="3" fillId="0" borderId="73" xfId="3" applyFont="1" applyBorder="1" applyAlignment="1">
      <alignment horizontal="center"/>
    </xf>
    <xf numFmtId="0" fontId="3" fillId="0" borderId="74" xfId="3" applyFont="1" applyBorder="1" applyAlignment="1">
      <alignment horizontal="center"/>
    </xf>
    <xf numFmtId="0" fontId="3" fillId="0" borderId="75" xfId="3" applyFont="1" applyBorder="1"/>
    <xf numFmtId="0" fontId="3" fillId="0" borderId="76" xfId="3" applyFont="1" applyBorder="1" applyAlignment="1">
      <alignment horizontal="center"/>
    </xf>
    <xf numFmtId="0" fontId="3" fillId="0" borderId="77" xfId="3" applyFont="1" applyBorder="1" applyAlignment="1">
      <alignment horizontal="center"/>
    </xf>
    <xf numFmtId="0" fontId="3" fillId="0" borderId="78" xfId="3" applyFont="1" applyBorder="1" applyAlignment="1">
      <alignment horizontal="center"/>
    </xf>
    <xf numFmtId="0" fontId="3" fillId="0" borderId="79" xfId="3" applyFont="1" applyBorder="1" applyAlignment="1">
      <alignment horizontal="center"/>
    </xf>
    <xf numFmtId="0" fontId="3" fillId="0" borderId="80" xfId="3" applyFont="1" applyBorder="1" applyAlignment="1">
      <alignment horizontal="center"/>
    </xf>
    <xf numFmtId="0" fontId="3" fillId="0" borderId="8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1" xfId="0" applyBorder="1"/>
    <xf numFmtId="0" fontId="3" fillId="7" borderId="11" xfId="0" applyFont="1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0" fillId="12" borderId="0" xfId="0" applyFill="1"/>
    <xf numFmtId="0" fontId="14" fillId="0" borderId="4" xfId="0" applyFont="1" applyBorder="1"/>
    <xf numFmtId="0" fontId="0" fillId="0" borderId="4" xfId="0" applyBorder="1"/>
    <xf numFmtId="0" fontId="0" fillId="0" borderId="9" xfId="0" applyBorder="1"/>
    <xf numFmtId="0" fontId="8" fillId="0" borderId="6" xfId="0" applyFont="1" applyBorder="1"/>
    <xf numFmtId="0" fontId="0" fillId="0" borderId="9" xfId="0" applyBorder="1" applyAlignment="1">
      <alignment horizontal="center" vertical="center"/>
    </xf>
    <xf numFmtId="0" fontId="8" fillId="0" borderId="4" xfId="0" applyFont="1" applyBorder="1"/>
    <xf numFmtId="0" fontId="8" fillId="0" borderId="6" xfId="0" applyFont="1" applyBorder="1" applyAlignment="1">
      <alignment wrapText="1"/>
    </xf>
    <xf numFmtId="0" fontId="15" fillId="0" borderId="11" xfId="0" applyFont="1" applyBorder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7" fillId="0" borderId="0" xfId="0" applyFont="1" applyAlignment="1">
      <alignment horizontal="left" vertical="top" wrapText="1"/>
    </xf>
    <xf numFmtId="14" fontId="37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8" fillId="4" borderId="12" xfId="0" applyFont="1" applyFill="1" applyBorder="1"/>
    <xf numFmtId="0" fontId="8" fillId="4" borderId="13" xfId="0" applyFont="1" applyFill="1" applyBorder="1"/>
    <xf numFmtId="0" fontId="0" fillId="4" borderId="14" xfId="0" applyFill="1" applyBorder="1"/>
    <xf numFmtId="0" fontId="51" fillId="0" borderId="0" xfId="0" applyFont="1" applyAlignment="1">
      <alignment vertical="top" wrapText="1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left" indent="2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vertical="top" wrapText="1"/>
    </xf>
    <xf numFmtId="0" fontId="51" fillId="0" borderId="0" xfId="0" applyFont="1"/>
    <xf numFmtId="0" fontId="14" fillId="0" borderId="12" xfId="0" applyFont="1" applyBorder="1"/>
    <xf numFmtId="0" fontId="0" fillId="0" borderId="13" xfId="0" applyBorder="1"/>
    <xf numFmtId="0" fontId="0" fillId="0" borderId="14" xfId="0" applyBorder="1"/>
    <xf numFmtId="0" fontId="52" fillId="0" borderId="0" xfId="0" applyFont="1" applyAlignment="1">
      <alignment horizontal="center" vertical="center" wrapText="1"/>
    </xf>
    <xf numFmtId="0" fontId="52" fillId="0" borderId="0" xfId="0" quotePrefix="1" applyFont="1" applyAlignment="1">
      <alignment horizontal="center" vertical="center" wrapText="1"/>
    </xf>
    <xf numFmtId="1" fontId="52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5" fillId="0" borderId="0" xfId="0" applyFont="1" applyAlignment="1">
      <alignment horizontal="center"/>
    </xf>
    <xf numFmtId="0" fontId="53" fillId="13" borderId="0" xfId="0" applyFont="1" applyFill="1"/>
    <xf numFmtId="0" fontId="0" fillId="13" borderId="0" xfId="0" applyFill="1"/>
    <xf numFmtId="0" fontId="0" fillId="13" borderId="0" xfId="0" applyFill="1" applyAlignment="1">
      <alignment horizontal="center"/>
    </xf>
    <xf numFmtId="14" fontId="0" fillId="0" borderId="0" xfId="0" applyNumberFormat="1"/>
    <xf numFmtId="14" fontId="8" fillId="0" borderId="0" xfId="0" applyNumberFormat="1" applyFont="1"/>
    <xf numFmtId="14" fontId="26" fillId="0" borderId="0" xfId="0" applyNumberFormat="1" applyFont="1" applyAlignment="1">
      <alignment horizontal="right"/>
    </xf>
    <xf numFmtId="0" fontId="54" fillId="0" borderId="0" xfId="0" applyFont="1"/>
    <xf numFmtId="0" fontId="12" fillId="7" borderId="0" xfId="0" applyFont="1" applyFill="1"/>
    <xf numFmtId="0" fontId="12" fillId="4" borderId="0" xfId="0" applyFont="1" applyFill="1"/>
    <xf numFmtId="0" fontId="12" fillId="0" borderId="0" xfId="0" applyFont="1" applyAlignment="1">
      <alignment horizontal="left" wrapText="1"/>
    </xf>
    <xf numFmtId="0" fontId="37" fillId="0" borderId="0" xfId="0" applyFont="1"/>
    <xf numFmtId="0" fontId="12" fillId="0" borderId="0" xfId="0" applyFont="1" applyAlignment="1">
      <alignment horizontal="left" vertical="top"/>
    </xf>
    <xf numFmtId="0" fontId="51" fillId="0" borderId="0" xfId="0" applyFont="1" applyAlignment="1">
      <alignment horizontal="left" vertical="top" wrapText="1"/>
    </xf>
    <xf numFmtId="0" fontId="51" fillId="0" borderId="0" xfId="0" applyFont="1" applyAlignment="1">
      <alignment horizontal="left" vertical="top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/>
    </xf>
    <xf numFmtId="0" fontId="12" fillId="0" borderId="0" xfId="0" applyFont="1" applyAlignment="1">
      <alignment vertical="top"/>
    </xf>
    <xf numFmtId="0" fontId="12" fillId="0" borderId="0" xfId="0" quotePrefix="1" applyFont="1"/>
    <xf numFmtId="0" fontId="15" fillId="9" borderId="0" xfId="0" applyFont="1" applyFill="1"/>
    <xf numFmtId="0" fontId="0" fillId="15" borderId="3" xfId="0" applyFill="1" applyBorder="1"/>
    <xf numFmtId="0" fontId="0" fillId="15" borderId="5" xfId="0" applyFill="1" applyBorder="1"/>
    <xf numFmtId="0" fontId="0" fillId="15" borderId="7" xfId="0" applyFill="1" applyBorder="1"/>
    <xf numFmtId="0" fontId="0" fillId="15" borderId="10" xfId="0" applyFill="1" applyBorder="1"/>
    <xf numFmtId="0" fontId="28" fillId="0" borderId="0" xfId="0" applyFont="1"/>
    <xf numFmtId="0" fontId="0" fillId="16" borderId="0" xfId="0" applyFill="1"/>
    <xf numFmtId="0" fontId="0" fillId="17" borderId="0" xfId="0" applyFill="1"/>
    <xf numFmtId="0" fontId="0" fillId="13" borderId="0" xfId="0" quotePrefix="1" applyFill="1"/>
    <xf numFmtId="0" fontId="22" fillId="0" borderId="44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15" fillId="0" borderId="82" xfId="0" applyFont="1" applyBorder="1" applyAlignment="1">
      <alignment horizontal="center"/>
    </xf>
    <xf numFmtId="0" fontId="15" fillId="0" borderId="92" xfId="0" applyFont="1" applyBorder="1" applyAlignment="1">
      <alignment horizontal="center"/>
    </xf>
    <xf numFmtId="0" fontId="49" fillId="0" borderId="16" xfId="0" applyFont="1" applyBorder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49" fillId="0" borderId="23" xfId="0" applyFont="1" applyBorder="1" applyAlignment="1">
      <alignment horizontal="left" vertical="center" wrapText="1"/>
    </xf>
    <xf numFmtId="14" fontId="26" fillId="0" borderId="0" xfId="0" applyNumberFormat="1" applyFont="1" applyAlignment="1">
      <alignment horizontal="center"/>
    </xf>
    <xf numFmtId="0" fontId="8" fillId="4" borderId="44" xfId="0" applyFont="1" applyFill="1" applyBorder="1" applyAlignment="1" applyProtection="1">
      <alignment horizontal="center" vertical="center"/>
      <protection locked="0"/>
    </xf>
    <xf numFmtId="0" fontId="8" fillId="4" borderId="37" xfId="0" applyFont="1" applyFill="1" applyBorder="1" applyAlignment="1" applyProtection="1">
      <alignment horizontal="center" vertical="center"/>
      <protection locked="0"/>
    </xf>
    <xf numFmtId="0" fontId="8" fillId="4" borderId="38" xfId="0" applyFont="1" applyFill="1" applyBorder="1" applyAlignment="1" applyProtection="1">
      <alignment horizontal="center" vertical="center"/>
      <protection locked="0"/>
    </xf>
    <xf numFmtId="165" fontId="0" fillId="0" borderId="30" xfId="0" applyNumberFormat="1" applyBorder="1" applyAlignment="1">
      <alignment horizontal="right" vertical="center"/>
    </xf>
    <xf numFmtId="165" fontId="0" fillId="0" borderId="31" xfId="0" applyNumberFormat="1" applyBorder="1" applyAlignment="1">
      <alignment horizontal="right" vertical="center"/>
    </xf>
    <xf numFmtId="165" fontId="0" fillId="0" borderId="32" xfId="0" applyNumberFormat="1" applyBorder="1" applyAlignment="1">
      <alignment horizontal="right" vertical="center"/>
    </xf>
    <xf numFmtId="165" fontId="0" fillId="0" borderId="85" xfId="0" applyNumberFormat="1" applyBorder="1" applyAlignment="1">
      <alignment horizontal="right" vertical="center"/>
    </xf>
    <xf numFmtId="165" fontId="0" fillId="0" borderId="16" xfId="0" applyNumberFormat="1" applyBorder="1" applyAlignment="1">
      <alignment horizontal="right" vertical="center"/>
    </xf>
    <xf numFmtId="165" fontId="0" fillId="0" borderId="17" xfId="0" applyNumberFormat="1" applyBorder="1" applyAlignment="1">
      <alignment horizontal="right" vertical="center"/>
    </xf>
    <xf numFmtId="165" fontId="0" fillId="0" borderId="35" xfId="0" applyNumberFormat="1" applyBorder="1" applyAlignment="1">
      <alignment horizontal="right" vertical="center"/>
    </xf>
    <xf numFmtId="165" fontId="0" fillId="0" borderId="23" xfId="0" applyNumberFormat="1" applyBorder="1" applyAlignment="1">
      <alignment horizontal="right" vertical="center"/>
    </xf>
    <xf numFmtId="165" fontId="0" fillId="0" borderId="24" xfId="0" applyNumberFormat="1" applyBorder="1" applyAlignment="1">
      <alignment horizontal="right" vertical="center"/>
    </xf>
    <xf numFmtId="165" fontId="8" fillId="0" borderId="86" xfId="0" applyNumberFormat="1" applyFont="1" applyBorder="1" applyAlignment="1">
      <alignment horizontal="right" vertical="center"/>
    </xf>
    <xf numFmtId="165" fontId="8" fillId="0" borderId="72" xfId="0" applyNumberFormat="1" applyFont="1" applyBorder="1" applyAlignment="1">
      <alignment horizontal="right" vertical="center"/>
    </xf>
    <xf numFmtId="165" fontId="8" fillId="0" borderId="84" xfId="0" applyNumberFormat="1" applyFont="1" applyBorder="1" applyAlignment="1">
      <alignment horizontal="right" vertical="center"/>
    </xf>
    <xf numFmtId="165" fontId="0" fillId="0" borderId="12" xfId="0" applyNumberFormat="1" applyBorder="1" applyAlignment="1">
      <alignment vertical="center"/>
    </xf>
    <xf numFmtId="165" fontId="0" fillId="0" borderId="13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30" xfId="0" applyNumberFormat="1" applyBorder="1" applyAlignment="1">
      <alignment vertical="center"/>
    </xf>
    <xf numFmtId="165" fontId="0" fillId="0" borderId="31" xfId="0" applyNumberFormat="1" applyBorder="1" applyAlignment="1">
      <alignment vertical="center"/>
    </xf>
    <xf numFmtId="165" fontId="0" fillId="0" borderId="32" xfId="0" applyNumberFormat="1" applyBorder="1" applyAlignment="1">
      <alignment vertical="center"/>
    </xf>
    <xf numFmtId="165" fontId="0" fillId="0" borderId="44" xfId="0" applyNumberFormat="1" applyBorder="1" applyAlignment="1">
      <alignment horizontal="right" vertical="center"/>
    </xf>
    <xf numFmtId="165" fontId="0" fillId="0" borderId="37" xfId="0" applyNumberFormat="1" applyBorder="1" applyAlignment="1">
      <alignment horizontal="right" vertical="center"/>
    </xf>
    <xf numFmtId="165" fontId="0" fillId="0" borderId="38" xfId="0" applyNumberFormat="1" applyBorder="1" applyAlignment="1">
      <alignment horizontal="right" vertical="center"/>
    </xf>
    <xf numFmtId="165" fontId="0" fillId="0" borderId="87" xfId="0" applyNumberFormat="1" applyBorder="1" applyAlignment="1">
      <alignment horizontal="right" vertical="center"/>
    </xf>
    <xf numFmtId="165" fontId="0" fillId="0" borderId="88" xfId="0" applyNumberFormat="1" applyBorder="1" applyAlignment="1">
      <alignment horizontal="right" vertical="center"/>
    </xf>
    <xf numFmtId="165" fontId="0" fillId="0" borderId="89" xfId="0" applyNumberFormat="1" applyBorder="1" applyAlignment="1">
      <alignment horizontal="right" vertical="center"/>
    </xf>
    <xf numFmtId="165" fontId="0" fillId="0" borderId="90" xfId="0" applyNumberFormat="1" applyBorder="1" applyAlignment="1">
      <alignment horizontal="right" vertical="center"/>
    </xf>
    <xf numFmtId="165" fontId="0" fillId="0" borderId="82" xfId="0" applyNumberFormat="1" applyBorder="1" applyAlignment="1">
      <alignment horizontal="right" vertical="center"/>
    </xf>
    <xf numFmtId="165" fontId="0" fillId="0" borderId="91" xfId="0" applyNumberFormat="1" applyBorder="1" applyAlignment="1">
      <alignment horizontal="right" vertical="center"/>
    </xf>
    <xf numFmtId="0" fontId="15" fillId="4" borderId="52" xfId="0" applyFont="1" applyFill="1" applyBorder="1" applyAlignment="1" applyProtection="1">
      <alignment horizontal="center"/>
      <protection locked="0"/>
    </xf>
    <xf numFmtId="0" fontId="15" fillId="4" borderId="53" xfId="0" applyFont="1" applyFill="1" applyBorder="1" applyAlignment="1" applyProtection="1">
      <alignment horizontal="center"/>
      <protection locked="0"/>
    </xf>
    <xf numFmtId="0" fontId="19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43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4" borderId="12" xfId="0" applyFont="1" applyFill="1" applyBorder="1" applyAlignment="1" applyProtection="1">
      <alignment horizontal="left" vertical="top"/>
      <protection locked="0"/>
    </xf>
    <xf numFmtId="0" fontId="15" fillId="4" borderId="13" xfId="0" applyFont="1" applyFill="1" applyBorder="1" applyAlignment="1" applyProtection="1">
      <alignment horizontal="left" vertical="top"/>
      <protection locked="0"/>
    </xf>
    <xf numFmtId="0" fontId="15" fillId="4" borderId="29" xfId="0" applyFont="1" applyFill="1" applyBorder="1" applyAlignment="1" applyProtection="1">
      <alignment horizontal="left" vertical="top"/>
      <protection locked="0"/>
    </xf>
    <xf numFmtId="0" fontId="8" fillId="0" borderId="0" xfId="0" applyFont="1" applyAlignment="1">
      <alignment horizontal="left"/>
    </xf>
    <xf numFmtId="0" fontId="15" fillId="4" borderId="11" xfId="0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Alignment="1">
      <alignment horizontal="center"/>
    </xf>
    <xf numFmtId="0" fontId="25" fillId="6" borderId="0" xfId="0" applyFont="1" applyFill="1" applyAlignment="1">
      <alignment horizontal="center"/>
    </xf>
    <xf numFmtId="0" fontId="8" fillId="6" borderId="36" xfId="0" applyFont="1" applyFill="1" applyBorder="1" applyAlignment="1">
      <alignment horizontal="left"/>
    </xf>
    <xf numFmtId="0" fontId="8" fillId="6" borderId="37" xfId="0" applyFont="1" applyFill="1" applyBorder="1" applyAlignment="1">
      <alignment horizontal="left"/>
    </xf>
    <xf numFmtId="0" fontId="8" fillId="6" borderId="38" xfId="0" applyFont="1" applyFill="1" applyBorder="1" applyAlignment="1">
      <alignment horizontal="left"/>
    </xf>
    <xf numFmtId="0" fontId="12" fillId="0" borderId="18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5" fillId="4" borderId="13" xfId="0" applyFont="1" applyFill="1" applyBorder="1" applyAlignment="1" applyProtection="1">
      <alignment horizontal="center"/>
      <protection locked="0"/>
    </xf>
    <xf numFmtId="0" fontId="15" fillId="4" borderId="29" xfId="0" applyFont="1" applyFill="1" applyBorder="1" applyAlignment="1" applyProtection="1">
      <alignment horizontal="center"/>
      <protection locked="0"/>
    </xf>
    <xf numFmtId="0" fontId="13" fillId="0" borderId="70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0" fillId="7" borderId="67" xfId="0" applyFill="1" applyBorder="1" applyAlignment="1" applyProtection="1">
      <alignment horizontal="center"/>
      <protection locked="0"/>
    </xf>
    <xf numFmtId="0" fontId="0" fillId="7" borderId="39" xfId="0" applyFill="1" applyBorder="1" applyAlignment="1" applyProtection="1">
      <alignment horizontal="center"/>
      <protection locked="0"/>
    </xf>
    <xf numFmtId="0" fontId="0" fillId="7" borderId="40" xfId="0" applyFill="1" applyBorder="1" applyAlignment="1" applyProtection="1">
      <alignment horizontal="center"/>
      <protection locked="0"/>
    </xf>
    <xf numFmtId="0" fontId="8" fillId="0" borderId="57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23" fillId="6" borderId="0" xfId="0" applyFont="1" applyFill="1" applyAlignment="1">
      <alignment horizontal="center"/>
    </xf>
    <xf numFmtId="0" fontId="8" fillId="6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4" borderId="30" xfId="0" applyFont="1" applyFill="1" applyBorder="1" applyAlignment="1" applyProtection="1">
      <alignment horizontal="left" vertical="top"/>
      <protection locked="0"/>
    </xf>
    <xf numFmtId="0" fontId="15" fillId="4" borderId="31" xfId="0" applyFont="1" applyFill="1" applyBorder="1" applyAlignment="1" applyProtection="1">
      <alignment horizontal="left" vertical="top"/>
      <protection locked="0"/>
    </xf>
    <xf numFmtId="0" fontId="15" fillId="4" borderId="32" xfId="0" applyFont="1" applyFill="1" applyBorder="1" applyAlignment="1" applyProtection="1">
      <alignment horizontal="left" vertical="top"/>
      <protection locked="0"/>
    </xf>
    <xf numFmtId="0" fontId="0" fillId="0" borderId="41" xfId="0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28" xfId="0" applyBorder="1" applyAlignment="1">
      <alignment horizontal="center"/>
    </xf>
    <xf numFmtId="165" fontId="8" fillId="0" borderId="85" xfId="0" applyNumberFormat="1" applyFont="1" applyBorder="1" applyAlignment="1">
      <alignment horizontal="right" vertical="center"/>
    </xf>
    <xf numFmtId="165" fontId="8" fillId="0" borderId="16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horizontal="right" vertical="center"/>
    </xf>
    <xf numFmtId="165" fontId="8" fillId="0" borderId="35" xfId="0" applyNumberFormat="1" applyFont="1" applyBorder="1" applyAlignment="1">
      <alignment horizontal="right" vertical="center"/>
    </xf>
    <xf numFmtId="165" fontId="8" fillId="0" borderId="23" xfId="0" applyNumberFormat="1" applyFont="1" applyBorder="1" applyAlignment="1">
      <alignment horizontal="right" vertical="center"/>
    </xf>
    <xf numFmtId="165" fontId="8" fillId="0" borderId="24" xfId="0" applyNumberFormat="1" applyFont="1" applyBorder="1" applyAlignment="1">
      <alignment horizontal="right" vertical="center"/>
    </xf>
    <xf numFmtId="49" fontId="0" fillId="4" borderId="93" xfId="0" applyNumberFormat="1" applyFill="1" applyBorder="1" applyAlignment="1" applyProtection="1">
      <alignment horizontal="center"/>
      <protection locked="0"/>
    </xf>
    <xf numFmtId="49" fontId="0" fillId="4" borderId="94" xfId="0" applyNumberFormat="1" applyFill="1" applyBorder="1" applyAlignment="1" applyProtection="1">
      <alignment horizontal="center"/>
      <protection locked="0"/>
    </xf>
    <xf numFmtId="49" fontId="0" fillId="4" borderId="95" xfId="0" applyNumberFormat="1" applyFill="1" applyBorder="1" applyAlignment="1" applyProtection="1">
      <alignment horizontal="center"/>
      <protection locked="0"/>
    </xf>
    <xf numFmtId="165" fontId="15" fillId="0" borderId="11" xfId="0" applyNumberFormat="1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/>
    </xf>
    <xf numFmtId="0" fontId="15" fillId="4" borderId="11" xfId="0" applyFont="1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47" fillId="0" borderId="22" xfId="0" applyFont="1" applyBorder="1" applyAlignment="1">
      <alignment horizontal="center" vertical="top"/>
    </xf>
    <xf numFmtId="0" fontId="47" fillId="0" borderId="23" xfId="0" applyFont="1" applyBorder="1" applyAlignment="1">
      <alignment horizontal="center" vertical="top"/>
    </xf>
    <xf numFmtId="0" fontId="15" fillId="0" borderId="25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left" vertical="center" wrapText="1"/>
    </xf>
    <xf numFmtId="165" fontId="15" fillId="0" borderId="28" xfId="0" applyNumberFormat="1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/>
    </xf>
    <xf numFmtId="165" fontId="15" fillId="0" borderId="11" xfId="0" applyNumberFormat="1" applyFont="1" applyBorder="1" applyAlignment="1">
      <alignment horizontal="center"/>
    </xf>
    <xf numFmtId="0" fontId="13" fillId="0" borderId="47" xfId="0" applyFont="1" applyBorder="1" applyAlignment="1">
      <alignment horizontal="left"/>
    </xf>
    <xf numFmtId="0" fontId="13" fillId="0" borderId="41" xfId="0" applyFont="1" applyBorder="1" applyAlignment="1">
      <alignment horizontal="left"/>
    </xf>
    <xf numFmtId="0" fontId="8" fillId="0" borderId="54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5" fillId="0" borderId="22" xfId="0" applyFont="1" applyBorder="1" applyAlignment="1">
      <alignment horizontal="right"/>
    </xf>
    <xf numFmtId="0" fontId="15" fillId="0" borderId="23" xfId="0" applyFont="1" applyBorder="1" applyAlignment="1">
      <alignment horizontal="right"/>
    </xf>
    <xf numFmtId="0" fontId="13" fillId="0" borderId="15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5" fillId="0" borderId="47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0" fontId="15" fillId="0" borderId="55" xfId="0" applyFont="1" applyBorder="1" applyAlignment="1">
      <alignment horizontal="left" vertical="center" wrapText="1"/>
    </xf>
    <xf numFmtId="0" fontId="15" fillId="0" borderId="39" xfId="0" applyFont="1" applyBorder="1" applyAlignment="1">
      <alignment horizontal="left" vertical="center" wrapText="1"/>
    </xf>
    <xf numFmtId="0" fontId="0" fillId="0" borderId="41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8" fillId="0" borderId="22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6" borderId="12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15" fillId="4" borderId="49" xfId="0" applyFont="1" applyFill="1" applyBorder="1" applyAlignment="1" applyProtection="1">
      <alignment horizontal="left" vertical="center"/>
      <protection locked="0"/>
    </xf>
    <xf numFmtId="0" fontId="15" fillId="4" borderId="50" xfId="0" applyFont="1" applyFill="1" applyBorder="1" applyAlignment="1" applyProtection="1">
      <alignment horizontal="left" vertical="center"/>
      <protection locked="0"/>
    </xf>
    <xf numFmtId="0" fontId="15" fillId="4" borderId="51" xfId="0" applyFont="1" applyFill="1" applyBorder="1" applyAlignment="1" applyProtection="1">
      <alignment horizontal="left" vertical="center"/>
      <protection locked="0"/>
    </xf>
    <xf numFmtId="0" fontId="15" fillId="4" borderId="33" xfId="0" applyFont="1" applyFill="1" applyBorder="1" applyAlignment="1" applyProtection="1">
      <alignment horizontal="left" vertical="center"/>
      <protection locked="0"/>
    </xf>
    <xf numFmtId="0" fontId="15" fillId="4" borderId="9" xfId="0" applyFont="1" applyFill="1" applyBorder="1" applyAlignment="1" applyProtection="1">
      <alignment horizontal="left" vertical="center"/>
      <protection locked="0"/>
    </xf>
    <xf numFmtId="0" fontId="15" fillId="4" borderId="34" xfId="0" applyFont="1" applyFill="1" applyBorder="1" applyAlignment="1" applyProtection="1">
      <alignment horizontal="left" vertical="center"/>
      <protection locked="0"/>
    </xf>
    <xf numFmtId="0" fontId="15" fillId="4" borderId="18" xfId="0" applyFont="1" applyFill="1" applyBorder="1" applyAlignment="1" applyProtection="1">
      <alignment horizontal="left" vertical="top"/>
      <protection locked="0"/>
    </xf>
    <xf numFmtId="0" fontId="15" fillId="4" borderId="0" xfId="0" applyFont="1" applyFill="1" applyAlignment="1" applyProtection="1">
      <alignment horizontal="left" vertical="top"/>
      <protection locked="0"/>
    </xf>
    <xf numFmtId="0" fontId="15" fillId="4" borderId="19" xfId="0" applyFont="1" applyFill="1" applyBorder="1" applyAlignment="1" applyProtection="1">
      <alignment horizontal="left" vertical="top"/>
      <protection locked="0"/>
    </xf>
    <xf numFmtId="0" fontId="15" fillId="4" borderId="33" xfId="0" applyFont="1" applyFill="1" applyBorder="1" applyAlignment="1" applyProtection="1">
      <alignment horizontal="left" vertical="top"/>
      <protection locked="0"/>
    </xf>
    <xf numFmtId="0" fontId="15" fillId="4" borderId="9" xfId="0" applyFont="1" applyFill="1" applyBorder="1" applyAlignment="1" applyProtection="1">
      <alignment horizontal="left" vertical="top"/>
      <protection locked="0"/>
    </xf>
    <xf numFmtId="0" fontId="15" fillId="4" borderId="34" xfId="0" applyFont="1" applyFill="1" applyBorder="1" applyAlignment="1" applyProtection="1">
      <alignment horizontal="left" vertical="top"/>
      <protection locked="0"/>
    </xf>
    <xf numFmtId="0" fontId="15" fillId="4" borderId="62" xfId="0" applyFont="1" applyFill="1" applyBorder="1" applyAlignment="1" applyProtection="1">
      <alignment horizontal="left" vertical="top"/>
      <protection locked="0"/>
    </xf>
    <xf numFmtId="0" fontId="15" fillId="4" borderId="63" xfId="0" applyFont="1" applyFill="1" applyBorder="1" applyAlignment="1" applyProtection="1">
      <alignment horizontal="left" vertical="top"/>
      <protection locked="0"/>
    </xf>
    <xf numFmtId="0" fontId="17" fillId="0" borderId="20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vertical="top" wrapText="1"/>
    </xf>
    <xf numFmtId="0" fontId="0" fillId="0" borderId="23" xfId="0" applyBorder="1" applyAlignment="1">
      <alignment horizontal="center"/>
    </xf>
    <xf numFmtId="0" fontId="56" fillId="4" borderId="9" xfId="4" applyFont="1" applyFill="1" applyBorder="1" applyAlignment="1" applyProtection="1">
      <alignment horizontal="left" vertical="top"/>
      <protection locked="0"/>
    </xf>
    <xf numFmtId="0" fontId="0" fillId="4" borderId="71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13" fillId="0" borderId="17" xfId="0" applyFont="1" applyBorder="1" applyAlignment="1">
      <alignment horizontal="left"/>
    </xf>
    <xf numFmtId="0" fontId="15" fillId="4" borderId="70" xfId="0" applyFont="1" applyFill="1" applyBorder="1" applyAlignment="1" applyProtection="1">
      <alignment horizontal="left" vertical="center"/>
      <protection locked="0"/>
    </xf>
    <xf numFmtId="0" fontId="15" fillId="4" borderId="14" xfId="0" applyFont="1" applyFill="1" applyBorder="1" applyAlignment="1" applyProtection="1">
      <alignment horizontal="left" vertical="center"/>
      <protection locked="0"/>
    </xf>
    <xf numFmtId="0" fontId="15" fillId="4" borderId="12" xfId="0" applyFont="1" applyFill="1" applyBorder="1" applyAlignment="1" applyProtection="1">
      <alignment horizontal="left" vertical="center"/>
      <protection locked="0"/>
    </xf>
    <xf numFmtId="0" fontId="15" fillId="4" borderId="29" xfId="0" applyFont="1" applyFill="1" applyBorder="1" applyAlignment="1" applyProtection="1">
      <alignment horizontal="left" vertical="center"/>
      <protection locked="0"/>
    </xf>
    <xf numFmtId="0" fontId="15" fillId="0" borderId="56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0" fontId="13" fillId="0" borderId="54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14" fontId="26" fillId="0" borderId="0" xfId="0" applyNumberFormat="1" applyFont="1" applyAlignment="1">
      <alignment horizontal="left"/>
    </xf>
    <xf numFmtId="0" fontId="15" fillId="4" borderId="12" xfId="0" applyFont="1" applyFill="1" applyBorder="1" applyAlignment="1" applyProtection="1">
      <alignment horizontal="left" vertical="center" wrapText="1"/>
      <protection locked="0"/>
    </xf>
    <xf numFmtId="0" fontId="15" fillId="4" borderId="13" xfId="0" applyFont="1" applyFill="1" applyBorder="1" applyAlignment="1" applyProtection="1">
      <alignment horizontal="left" vertical="center" wrapText="1"/>
      <protection locked="0"/>
    </xf>
    <xf numFmtId="0" fontId="15" fillId="4" borderId="14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/>
    </xf>
    <xf numFmtId="0" fontId="14" fillId="0" borderId="9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/>
    </xf>
    <xf numFmtId="0" fontId="32" fillId="0" borderId="0" xfId="0" applyFont="1" applyAlignment="1">
      <alignment horizontal="left" vertical="center"/>
    </xf>
    <xf numFmtId="0" fontId="34" fillId="4" borderId="12" xfId="0" applyFont="1" applyFill="1" applyBorder="1" applyAlignment="1" applyProtection="1">
      <alignment horizontal="left" vertical="center"/>
      <protection locked="0"/>
    </xf>
    <xf numFmtId="0" fontId="34" fillId="4" borderId="14" xfId="0" applyFont="1" applyFill="1" applyBorder="1" applyAlignment="1" applyProtection="1">
      <alignment horizontal="left" vertical="center"/>
      <protection locked="0"/>
    </xf>
    <xf numFmtId="0" fontId="31" fillId="7" borderId="12" xfId="0" applyFont="1" applyFill="1" applyBorder="1" applyAlignment="1" applyProtection="1">
      <alignment horizontal="left" vertical="top" wrapText="1"/>
      <protection locked="0"/>
    </xf>
    <xf numFmtId="0" fontId="31" fillId="7" borderId="13" xfId="0" applyFont="1" applyFill="1" applyBorder="1" applyAlignment="1" applyProtection="1">
      <alignment horizontal="left" vertical="top" wrapText="1"/>
      <protection locked="0"/>
    </xf>
    <xf numFmtId="0" fontId="31" fillId="7" borderId="14" xfId="0" applyFont="1" applyFill="1" applyBorder="1" applyAlignment="1" applyProtection="1">
      <alignment horizontal="left" vertical="top" wrapText="1"/>
      <protection locked="0"/>
    </xf>
    <xf numFmtId="0" fontId="37" fillId="0" borderId="16" xfId="0" applyFont="1" applyBorder="1" applyAlignment="1">
      <alignment horizontal="center" vertical="top"/>
    </xf>
    <xf numFmtId="0" fontId="31" fillId="0" borderId="0" xfId="0" applyFont="1" applyAlignment="1">
      <alignment horizontal="center" vertical="center"/>
    </xf>
    <xf numFmtId="0" fontId="34" fillId="4" borderId="12" xfId="0" applyFont="1" applyFill="1" applyBorder="1" applyAlignment="1" applyProtection="1">
      <alignment horizontal="left" vertical="center" wrapText="1"/>
      <protection locked="0"/>
    </xf>
    <xf numFmtId="0" fontId="34" fillId="4" borderId="14" xfId="0" applyFont="1" applyFill="1" applyBorder="1" applyAlignment="1" applyProtection="1">
      <alignment horizontal="left" vertical="center" wrapText="1"/>
      <protection locked="0"/>
    </xf>
    <xf numFmtId="0" fontId="31" fillId="4" borderId="12" xfId="0" applyFont="1" applyFill="1" applyBorder="1" applyAlignment="1" applyProtection="1">
      <alignment horizontal="left" vertical="center" wrapText="1"/>
      <protection locked="0"/>
    </xf>
    <xf numFmtId="0" fontId="31" fillId="4" borderId="14" xfId="0" applyFont="1" applyFill="1" applyBorder="1" applyAlignment="1" applyProtection="1">
      <alignment horizontal="left" vertical="center" wrapText="1"/>
      <protection locked="0"/>
    </xf>
    <xf numFmtId="0" fontId="36" fillId="4" borderId="12" xfId="0" applyFont="1" applyFill="1" applyBorder="1" applyAlignment="1" applyProtection="1">
      <alignment horizontal="left" vertical="center"/>
      <protection locked="0"/>
    </xf>
    <xf numFmtId="0" fontId="36" fillId="4" borderId="13" xfId="0" applyFont="1" applyFill="1" applyBorder="1" applyAlignment="1" applyProtection="1">
      <alignment horizontal="left" vertical="center"/>
      <protection locked="0"/>
    </xf>
    <xf numFmtId="0" fontId="36" fillId="4" borderId="14" xfId="0" applyFont="1" applyFill="1" applyBorder="1" applyAlignment="1" applyProtection="1">
      <alignment horizontal="left" vertical="center"/>
      <protection locked="0"/>
    </xf>
    <xf numFmtId="0" fontId="34" fillId="4" borderId="13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/>
    </xf>
    <xf numFmtId="0" fontId="13" fillId="0" borderId="83" xfId="0" applyFont="1" applyBorder="1" applyAlignment="1">
      <alignment horizontal="center"/>
    </xf>
    <xf numFmtId="0" fontId="13" fillId="0" borderId="72" xfId="0" applyFont="1" applyBorder="1" applyAlignment="1">
      <alignment horizontal="center"/>
    </xf>
    <xf numFmtId="0" fontId="13" fillId="0" borderId="84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8" fillId="0" borderId="0" xfId="0" applyFont="1" applyAlignment="1">
      <alignment horizontal="center"/>
    </xf>
    <xf numFmtId="0" fontId="51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0" fontId="15" fillId="4" borderId="0" xfId="0" applyFont="1" applyFill="1" applyAlignment="1" applyProtection="1">
      <alignment horizontal="left" vertical="top" wrapText="1"/>
      <protection locked="0"/>
    </xf>
    <xf numFmtId="0" fontId="0" fillId="0" borderId="0" xfId="0" applyAlignment="1">
      <alignment horizontal="right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7" borderId="12" xfId="0" applyFill="1" applyBorder="1" applyAlignment="1" applyProtection="1">
      <alignment horizontal="left" vertical="top" wrapText="1"/>
      <protection locked="0"/>
    </xf>
    <xf numFmtId="0" fontId="0" fillId="7" borderId="13" xfId="0" applyFill="1" applyBorder="1" applyAlignment="1" applyProtection="1">
      <alignment horizontal="left" vertical="top" wrapText="1"/>
      <protection locked="0"/>
    </xf>
    <xf numFmtId="0" fontId="0" fillId="7" borderId="14" xfId="0" applyFill="1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/>
      <protection locked="0"/>
    </xf>
    <xf numFmtId="0" fontId="14" fillId="6" borderId="0" xfId="0" applyFont="1" applyFill="1" applyAlignment="1">
      <alignment horizontal="center"/>
    </xf>
    <xf numFmtId="0" fontId="15" fillId="0" borderId="13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3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44" fillId="0" borderId="0" xfId="0" applyFont="1" applyAlignment="1">
      <alignment horizontal="left" vertical="top"/>
    </xf>
    <xf numFmtId="0" fontId="12" fillId="0" borderId="0" xfId="0" applyFont="1" applyAlignment="1">
      <alignment horizontal="left" wrapText="1"/>
    </xf>
    <xf numFmtId="0" fontId="14" fillId="6" borderId="0" xfId="0" applyFont="1" applyFill="1" applyAlignment="1">
      <alignment horizontal="left"/>
    </xf>
    <xf numFmtId="0" fontId="28" fillId="0" borderId="0" xfId="0" applyFont="1" applyAlignment="1">
      <alignment horizontal="left" vertical="top" wrapText="1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14" borderId="12" xfId="0" applyFont="1" applyFill="1" applyBorder="1" applyAlignment="1">
      <alignment horizontal="left"/>
    </xf>
    <xf numFmtId="0" fontId="8" fillId="14" borderId="13" xfId="0" applyFont="1" applyFill="1" applyBorder="1" applyAlignment="1">
      <alignment horizontal="left"/>
    </xf>
    <xf numFmtId="0" fontId="8" fillId="14" borderId="14" xfId="0" applyFont="1" applyFill="1" applyBorder="1" applyAlignment="1">
      <alignment horizontal="left"/>
    </xf>
    <xf numFmtId="0" fontId="14" fillId="6" borderId="83" xfId="0" applyFont="1" applyFill="1" applyBorder="1" applyAlignment="1">
      <alignment horizontal="left" vertical="center"/>
    </xf>
    <xf numFmtId="0" fontId="14" fillId="6" borderId="72" xfId="0" applyFont="1" applyFill="1" applyBorder="1" applyAlignment="1">
      <alignment horizontal="left" vertical="center"/>
    </xf>
    <xf numFmtId="0" fontId="14" fillId="6" borderId="84" xfId="0" applyFont="1" applyFill="1" applyBorder="1" applyAlignment="1">
      <alignment horizontal="left" vertical="center"/>
    </xf>
    <xf numFmtId="0" fontId="55" fillId="0" borderId="0" xfId="0" applyFont="1" applyAlignment="1">
      <alignment horizontal="left" vertical="top" wrapText="1"/>
    </xf>
    <xf numFmtId="0" fontId="55" fillId="0" borderId="0" xfId="0" applyFont="1" applyAlignment="1">
      <alignment horizontal="left" vertical="top"/>
    </xf>
  </cellXfs>
  <cellStyles count="5">
    <cellStyle name="Comma" xfId="1" builtinId="3"/>
    <cellStyle name="Hyperlink" xfId="4" builtinId="8"/>
    <cellStyle name="Normal" xfId="0" builtinId="0"/>
    <cellStyle name="Normal 2" xfId="3" xr:uid="{F9510A92-6EEE-774E-A14C-A1A846904AD6}"/>
    <cellStyle name="Percent" xfId="2" builtinId="5"/>
  </cellStyles>
  <dxfs count="4">
    <dxf>
      <fill>
        <patternFill patternType="lightUp">
          <fgColor rgb="FFFF0000"/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0" tint="-0.499984740745262"/>
        </patternFill>
      </fill>
    </dxf>
    <dxf>
      <fill>
        <patternFill>
          <bgColor rgb="FFFFC5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color theme="0" tint="-0.499984740745262"/>
      </font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DFF0FB"/>
      <color rgb="FF0432FF"/>
      <color rgb="FFFFC5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17/06/relationships/rdRichValue" Target="richData/rdrichvalue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'Option pricing'!$A$2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Calculations!$A$3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17</xdr:row>
          <xdr:rowOff>190500</xdr:rowOff>
        </xdr:from>
        <xdr:to>
          <xdr:col>25</xdr:col>
          <xdr:colOff>365760</xdr:colOff>
          <xdr:row>19</xdr:row>
          <xdr:rowOff>15240</xdr:rowOff>
        </xdr:to>
        <xdr:sp macro="" textlink="">
          <xdr:nvSpPr>
            <xdr:cNvPr id="5135" name="Option Button 15" descr="Select to enter your own FFL or to use one of our pre-arranged FFLs in specific locations.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1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Other FFL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19</xdr:row>
          <xdr:rowOff>22860</xdr:rowOff>
        </xdr:from>
        <xdr:to>
          <xdr:col>26</xdr:col>
          <xdr:colOff>472440</xdr:colOff>
          <xdr:row>19</xdr:row>
          <xdr:rowOff>228600</xdr:rowOff>
        </xdr:to>
        <xdr:sp macro="" textlink="">
          <xdr:nvSpPr>
            <xdr:cNvPr id="5136" name="Option Button 16" descr="Select to enter your own FFL or to use one of our pre-arranged FFLs in specific locations.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1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Colorado Springs  FFL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</xdr:colOff>
          <xdr:row>19</xdr:row>
          <xdr:rowOff>243840</xdr:rowOff>
        </xdr:from>
        <xdr:to>
          <xdr:col>25</xdr:col>
          <xdr:colOff>358140</xdr:colOff>
          <xdr:row>20</xdr:row>
          <xdr:rowOff>175260</xdr:rowOff>
        </xdr:to>
        <xdr:sp macro="" textlink="">
          <xdr:nvSpPr>
            <xdr:cNvPr id="5137" name="Option Button 17" descr="Select to enter your own FFL or to use one of our pre-arranged FFLs in specific locations.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1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Dallas FFL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99060</xdr:colOff>
          <xdr:row>10</xdr:row>
          <xdr:rowOff>205740</xdr:rowOff>
        </xdr:from>
        <xdr:to>
          <xdr:col>26</xdr:col>
          <xdr:colOff>723900</xdr:colOff>
          <xdr:row>12</xdr:row>
          <xdr:rowOff>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1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This is a surprise gift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10</xdr:row>
          <xdr:rowOff>0</xdr:rowOff>
        </xdr:from>
        <xdr:to>
          <xdr:col>5</xdr:col>
          <xdr:colOff>342900</xdr:colOff>
          <xdr:row>10</xdr:row>
          <xdr:rowOff>281940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</a:rPr>
                <a:t>Display case shipping address same as billing address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icrosoft Office User" id="{7BBE58BB-6F12-0C44-A335-F4F8CB84492D}" userId="Microsoft Office User" providerId="None"/>
</personList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4">
  <rv s="0">
    <v>0</v>
    <v>5</v>
  </rv>
  <rv s="0">
    <v>1</v>
    <v>5</v>
  </rv>
  <rv s="0">
    <v>2</v>
    <v>5</v>
  </rv>
  <rv s="1">
    <v>13</v>
    <v>3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error">
    <k n="errorType" t="i"/>
    <k n="subType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9" dT="2024-05-28T21:23:36.11" personId="{7BBE58BB-6F12-0C44-A335-F4F8CB84492D}" id="{BAAEBE50-41B2-1649-97C9-C3D0F432985A}">
    <text>GNS not available as “additional sight” because it is the basic sight on G19X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mark@g4grads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YWT7u2ldPm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3DAF1-F6FE-9A4F-87EA-FB6E9894BD17}">
  <sheetPr>
    <tabColor theme="0"/>
  </sheetPr>
  <dimension ref="B2:C16"/>
  <sheetViews>
    <sheetView showGridLines="0" showRowColHeaders="0" tabSelected="1" zoomScale="200" zoomScaleNormal="200" workbookViewId="0"/>
  </sheetViews>
  <sheetFormatPr defaultColWidth="10.90625" defaultRowHeight="15"/>
  <cols>
    <col min="1" max="1" width="4.81640625" customWidth="1"/>
    <col min="2" max="2" width="8.26953125" customWidth="1"/>
    <col min="3" max="3" width="76" customWidth="1"/>
  </cols>
  <sheetData>
    <row r="2" spans="2:3" ht="40.049999999999997" customHeight="1">
      <c r="B2" s="56">
        <v>1</v>
      </c>
      <c r="C2" s="58" t="s">
        <v>195</v>
      </c>
    </row>
    <row r="3" spans="2:3" ht="40.049999999999997" customHeight="1">
      <c r="B3" s="56">
        <v>2</v>
      </c>
      <c r="C3" s="58" t="s">
        <v>398</v>
      </c>
    </row>
    <row r="4" spans="2:3" s="57" customFormat="1" ht="40.049999999999997" customHeight="1">
      <c r="B4" s="56">
        <v>3</v>
      </c>
      <c r="C4" s="59" t="s">
        <v>322</v>
      </c>
    </row>
    <row r="5" spans="2:3" s="57" customFormat="1" ht="40.049999999999997" customHeight="1">
      <c r="B5" s="56">
        <v>4</v>
      </c>
      <c r="C5" s="59" t="s">
        <v>323</v>
      </c>
    </row>
    <row r="6" spans="2:3" s="57" customFormat="1" ht="30" customHeight="1">
      <c r="B6" s="56">
        <v>5</v>
      </c>
      <c r="C6" s="34" t="s">
        <v>196</v>
      </c>
    </row>
    <row r="7" spans="2:3" s="57" customFormat="1" ht="40.049999999999997" customHeight="1">
      <c r="B7" s="56">
        <v>6</v>
      </c>
      <c r="C7" s="59" t="s">
        <v>192</v>
      </c>
    </row>
    <row r="8" spans="2:3" ht="40.049999999999997" customHeight="1">
      <c r="B8" s="56">
        <v>7</v>
      </c>
      <c r="C8" s="60" t="s">
        <v>197</v>
      </c>
    </row>
    <row r="11" spans="2:3" ht="33" customHeight="1">
      <c r="C11" s="58"/>
    </row>
    <row r="12" spans="2:3">
      <c r="C12" s="58"/>
    </row>
    <row r="15" spans="2:3" ht="26.4">
      <c r="B15" s="141" t="s">
        <v>204</v>
      </c>
      <c r="C15" s="142">
        <v>45453</v>
      </c>
    </row>
    <row r="16" spans="2:3" ht="30" customHeight="1">
      <c r="B16" s="141" t="s">
        <v>367</v>
      </c>
      <c r="C16" s="142">
        <f>version_workbook</f>
        <v>45578</v>
      </c>
    </row>
  </sheetData>
  <sheetProtection sheet="1" objects="1" scenarios="1" selectLockedCells="1"/>
  <pageMargins left="0.7" right="0.7" top="0.75" bottom="0.75" header="0.3" footer="0.3"/>
  <pageSetup orientation="landscape" horizontalDpi="0" verticalDpi="0"/>
  <headerFooter>
    <oddHeader>&amp;C&amp;"Arial Bold,Bold"&amp;14&amp;K000000G4Grads Order Form Instructions</oddHeader>
    <oddFooter>&amp;L&amp;"Arial,Regular"&amp;K000000&amp;F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C163F-0BC6-3240-8870-216872ABC366}">
  <sheetPr>
    <tabColor theme="9"/>
  </sheetPr>
  <dimension ref="A1:AB44"/>
  <sheetViews>
    <sheetView showGridLines="0" showRowColHeaders="0" zoomScale="125" zoomScaleNormal="125" workbookViewId="0">
      <selection activeCell="N5" sqref="N5:V5"/>
    </sheetView>
  </sheetViews>
  <sheetFormatPr defaultColWidth="10.90625" defaultRowHeight="15"/>
  <cols>
    <col min="1" max="1" width="3.7265625" style="5" customWidth="1"/>
    <col min="2" max="2" width="4.7265625" customWidth="1"/>
    <col min="3" max="5" width="1.81640625" customWidth="1"/>
    <col min="6" max="10" width="1.81640625" style="5" customWidth="1"/>
    <col min="11" max="21" width="1.81640625" customWidth="1"/>
    <col min="22" max="22" width="7" customWidth="1"/>
    <col min="23" max="23" width="1.26953125" customWidth="1"/>
    <col min="24" max="24" width="8.54296875" customWidth="1"/>
    <col min="25" max="25" width="4.7265625" customWidth="1"/>
    <col min="26" max="26" width="5.7265625" customWidth="1"/>
    <col min="27" max="27" width="9.26953125" customWidth="1"/>
    <col min="28" max="28" width="3.7265625" customWidth="1"/>
  </cols>
  <sheetData>
    <row r="1" spans="1:28" ht="12" customHeight="1">
      <c r="A1" s="119"/>
      <c r="B1" s="124"/>
      <c r="C1" s="124"/>
      <c r="D1" s="124"/>
      <c r="E1" s="124"/>
      <c r="F1" s="119"/>
      <c r="G1" s="119"/>
      <c r="H1" s="119"/>
      <c r="I1" s="119"/>
      <c r="J1" s="119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</row>
    <row r="2" spans="1:28" ht="36.6">
      <c r="A2" s="120"/>
      <c r="B2" s="326" t="s">
        <v>118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 t="e" vm="1">
        <v>#VALUE!</v>
      </c>
      <c r="AA2" s="326"/>
      <c r="AB2" s="124"/>
    </row>
    <row r="3" spans="1:28" s="36" customFormat="1" ht="22.05" customHeight="1">
      <c r="A3" s="121"/>
      <c r="B3" s="327" t="s">
        <v>113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6"/>
      <c r="AA3" s="326"/>
      <c r="AB3" s="125"/>
    </row>
    <row r="4" spans="1:28" s="36" customFormat="1" ht="7.95" customHeight="1" thickBot="1">
      <c r="A4" s="12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1"/>
      <c r="V4" s="61"/>
      <c r="AB4" s="125"/>
    </row>
    <row r="5" spans="1:28" ht="18" thickTop="1">
      <c r="A5" s="119"/>
      <c r="B5" s="414" t="s">
        <v>276</v>
      </c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284"/>
      <c r="O5" s="285"/>
      <c r="P5" s="285"/>
      <c r="Q5" s="285"/>
      <c r="R5" s="285"/>
      <c r="S5" s="285"/>
      <c r="T5" s="285"/>
      <c r="U5" s="285"/>
      <c r="V5" s="286"/>
      <c r="X5" s="424" t="s">
        <v>108</v>
      </c>
      <c r="Y5" s="425"/>
      <c r="Z5" s="425"/>
      <c r="AA5" s="426"/>
      <c r="AB5" s="124"/>
    </row>
    <row r="6" spans="1:28" ht="16.95" customHeight="1" thickBot="1">
      <c r="A6" s="119"/>
      <c r="B6" s="422" t="s">
        <v>80</v>
      </c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287" t="e">
        <f>(VLOOKUP(N5,'Gun Pricing'!$D$5:$I$48,6,FALSE))</f>
        <v>#N/A</v>
      </c>
      <c r="U6" s="288"/>
      <c r="V6" s="289"/>
      <c r="X6" s="342" t="s">
        <v>123</v>
      </c>
      <c r="Y6" s="343"/>
      <c r="Z6" s="343"/>
      <c r="AA6" s="344"/>
      <c r="AB6" s="124"/>
    </row>
    <row r="7" spans="1:28" ht="16.05" customHeight="1" thickTop="1" thickBot="1">
      <c r="A7" s="119"/>
      <c r="B7" s="280" t="s">
        <v>309</v>
      </c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X7" s="345"/>
      <c r="Y7" s="346"/>
      <c r="Z7" s="346"/>
      <c r="AA7" s="347"/>
      <c r="AB7" s="124"/>
    </row>
    <row r="8" spans="1:28" ht="19.05" customHeight="1" thickTop="1">
      <c r="A8" s="119"/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X8" s="412" t="s">
        <v>360</v>
      </c>
      <c r="Y8" s="413"/>
      <c r="Z8" s="413"/>
      <c r="AA8" s="449"/>
      <c r="AB8" s="124"/>
    </row>
    <row r="9" spans="1:28" ht="15.6" thickBot="1">
      <c r="A9" s="119"/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X9" s="450"/>
      <c r="Y9" s="451"/>
      <c r="Z9" s="452"/>
      <c r="AA9" s="453"/>
      <c r="AB9" s="124"/>
    </row>
    <row r="10" spans="1:28" ht="16.8" thickTop="1" thickBot="1">
      <c r="A10" s="119"/>
      <c r="B10" s="316" t="s">
        <v>109</v>
      </c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8"/>
      <c r="N10" s="314"/>
      <c r="O10" s="315"/>
      <c r="P10" s="315"/>
      <c r="Q10" s="315"/>
      <c r="R10" s="315"/>
      <c r="S10" s="315"/>
      <c r="T10" s="290">
        <f>IF(N10="GNS",GNS_price,IF(N10="AmeriGlo",ameriglo_price,0))</f>
        <v>0</v>
      </c>
      <c r="U10" s="291"/>
      <c r="V10" s="292"/>
      <c r="X10" s="94" t="s">
        <v>111</v>
      </c>
      <c r="Y10" s="445"/>
      <c r="Z10" s="437"/>
      <c r="AA10" s="438"/>
      <c r="AB10" s="124"/>
    </row>
    <row r="11" spans="1:28" ht="15.6" thickBot="1">
      <c r="A11" s="119"/>
      <c r="B11" s="395" t="s">
        <v>277</v>
      </c>
      <c r="C11" s="396"/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278" t="s">
        <v>79</v>
      </c>
      <c r="O11" s="278"/>
      <c r="P11" s="278"/>
      <c r="Q11" s="278"/>
      <c r="R11" s="278"/>
      <c r="S11" s="279"/>
      <c r="T11" s="293"/>
      <c r="U11" s="294"/>
      <c r="V11" s="295"/>
      <c r="X11" s="350" t="s">
        <v>182</v>
      </c>
      <c r="Y11" s="351"/>
      <c r="Z11" s="348"/>
      <c r="AA11" s="349"/>
      <c r="AB11" s="124"/>
    </row>
    <row r="12" spans="1:28" ht="16.2" thickTop="1" thickBot="1">
      <c r="A12" s="119"/>
      <c r="B12" s="412" t="str">
        <f>"ENGRAVINGS (# / Price) $"&amp;engraving_price&amp;" ea"</f>
        <v>ENGRAVINGS (# / Price) $45 ea</v>
      </c>
      <c r="C12" s="413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3"/>
      <c r="P12" s="413"/>
      <c r="Q12" s="408">
        <f>COUNTA('2 Engraving'!D8:D17)-engravings_blank</f>
        <v>0</v>
      </c>
      <c r="R12" s="408"/>
      <c r="S12" s="408"/>
      <c r="T12" s="290">
        <f>MAX(0,(Q12-number_of_free_engravings)*engraving_price)</f>
        <v>0</v>
      </c>
      <c r="U12" s="291"/>
      <c r="V12" s="292"/>
      <c r="X12" s="446"/>
      <c r="Y12" s="447"/>
      <c r="Z12" s="447"/>
      <c r="AA12" s="448"/>
      <c r="AB12" s="124"/>
    </row>
    <row r="13" spans="1:28" ht="16.2" thickTop="1" thickBot="1">
      <c r="A13" s="119"/>
      <c r="B13" s="410" t="str">
        <f>"First "&amp;number_of_free_engravings&amp;" Free in Graduation Year"</f>
        <v>First 1 Free in Graduation Year</v>
      </c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09"/>
      <c r="R13" s="409"/>
      <c r="S13" s="409"/>
      <c r="T13" s="293"/>
      <c r="U13" s="294"/>
      <c r="V13" s="295"/>
      <c r="X13" s="444"/>
      <c r="Y13" s="444"/>
      <c r="Z13" s="444"/>
      <c r="AA13" s="444"/>
      <c r="AB13" s="124"/>
    </row>
    <row r="14" spans="1:28" ht="18" customHeight="1" thickTop="1" thickBot="1">
      <c r="A14" s="119"/>
      <c r="B14" s="406" t="s">
        <v>112</v>
      </c>
      <c r="C14" s="407"/>
      <c r="D14" s="407"/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7"/>
      <c r="P14" s="407"/>
      <c r="Q14" s="407"/>
      <c r="R14" s="407"/>
      <c r="S14" s="407"/>
      <c r="T14" s="296">
        <f>IF(ISERROR(T6),0,SUBTOTAL(9,T6:V13))</f>
        <v>0</v>
      </c>
      <c r="U14" s="297"/>
      <c r="V14" s="298"/>
      <c r="X14" s="336" t="s">
        <v>178</v>
      </c>
      <c r="Y14" s="337"/>
      <c r="Z14" s="337"/>
      <c r="AA14" s="338"/>
      <c r="AB14" s="124"/>
    </row>
    <row r="15" spans="1:28" ht="16.95" customHeight="1" thickTop="1">
      <c r="A15" s="119"/>
      <c r="B15" s="404" t="s">
        <v>88</v>
      </c>
      <c r="C15" s="405"/>
      <c r="D15" s="405"/>
      <c r="E15" s="405"/>
      <c r="F15" s="405"/>
      <c r="G15" s="405"/>
      <c r="H15" s="405"/>
      <c r="I15" s="405"/>
      <c r="J15" s="405"/>
      <c r="K15" s="405"/>
      <c r="L15" s="405"/>
      <c r="M15" s="405"/>
      <c r="N15" s="392" t="s">
        <v>120</v>
      </c>
      <c r="O15" s="392"/>
      <c r="P15" s="402" t="s">
        <v>144</v>
      </c>
      <c r="Q15" s="402"/>
      <c r="R15" s="402"/>
      <c r="S15" s="402"/>
      <c r="T15" s="275" t="s">
        <v>308</v>
      </c>
      <c r="U15" s="276"/>
      <c r="V15" s="277"/>
      <c r="X15" s="339" t="s">
        <v>174</v>
      </c>
      <c r="Y15" s="340"/>
      <c r="Z15" s="340"/>
      <c r="AA15" s="341"/>
      <c r="AB15" s="124"/>
    </row>
    <row r="16" spans="1:28">
      <c r="A16" s="119"/>
      <c r="B16" s="319" t="str">
        <f>IF(ISBLANK(acc1_name),"",acc1_name)</f>
        <v>Magazines</v>
      </c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93"/>
      <c r="O16" s="393"/>
      <c r="P16" s="403">
        <f>IF(ISBLANK(acc1_price),"",acc1_price)</f>
        <v>25</v>
      </c>
      <c r="Q16" s="403"/>
      <c r="R16" s="403"/>
      <c r="S16" s="403"/>
      <c r="T16" s="299" t="str">
        <f>IF(acc1_qty&gt;0,acc1_qty*acc1_price,"")</f>
        <v/>
      </c>
      <c r="U16" s="300"/>
      <c r="V16" s="301"/>
      <c r="X16" s="339"/>
      <c r="Y16" s="340"/>
      <c r="Z16" s="340"/>
      <c r="AA16" s="341"/>
      <c r="AB16" s="124"/>
    </row>
    <row r="17" spans="1:28">
      <c r="A17" s="119"/>
      <c r="B17" s="321" t="str">
        <f>IF(ISBLANK(acc2_name),"",acc2_name)</f>
        <v/>
      </c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3"/>
      <c r="N17" s="394"/>
      <c r="O17" s="394"/>
      <c r="P17" s="403" t="str">
        <f>IF(ISBLANK(acc2_price),"",acc2_price)</f>
        <v/>
      </c>
      <c r="Q17" s="403"/>
      <c r="R17" s="403"/>
      <c r="S17" s="403"/>
      <c r="T17" s="299" t="str" cm="1">
        <f t="array" ref="T17">IF(acc2_qty&gt;0,acc2_qty*acc2_price,"")</f>
        <v/>
      </c>
      <c r="U17" s="300"/>
      <c r="V17" s="301"/>
      <c r="X17" s="339"/>
      <c r="Y17" s="340"/>
      <c r="Z17" s="340"/>
      <c r="AA17" s="341"/>
      <c r="AB17" s="124"/>
    </row>
    <row r="18" spans="1:28" ht="16.05" customHeight="1">
      <c r="A18" s="119"/>
      <c r="B18" s="321" t="str">
        <f>IF(ISBLANK(acc3_name),"",acc3_name)</f>
        <v/>
      </c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323"/>
      <c r="N18" s="324"/>
      <c r="O18" s="324"/>
      <c r="P18" s="403" t="str">
        <f>IF(ISBLANK(acc3_price),"",acc3_price)</f>
        <v/>
      </c>
      <c r="Q18" s="403"/>
      <c r="R18" s="403"/>
      <c r="S18" s="403"/>
      <c r="T18" s="299" t="str">
        <f>IF(acc3_qty&gt;0,acc3_qty*acc3_price,"")</f>
        <v/>
      </c>
      <c r="U18" s="300"/>
      <c r="V18" s="301"/>
      <c r="X18" s="339"/>
      <c r="Y18" s="340"/>
      <c r="Z18" s="340"/>
      <c r="AA18" s="341"/>
      <c r="AB18" s="124"/>
    </row>
    <row r="19" spans="1:28" ht="16.95" customHeight="1">
      <c r="A19" s="119"/>
      <c r="B19" s="397" t="str">
        <f>IF(ISBLANK(acc4_name),"",acc4_name)</f>
        <v>Display case (incl. shipping)</v>
      </c>
      <c r="C19" s="398"/>
      <c r="D19" s="398"/>
      <c r="E19" s="398"/>
      <c r="F19" s="398"/>
      <c r="G19" s="398"/>
      <c r="H19" s="398"/>
      <c r="I19" s="398"/>
      <c r="J19" s="398"/>
      <c r="K19" s="398"/>
      <c r="L19" s="398"/>
      <c r="M19" s="398"/>
      <c r="N19" s="324"/>
      <c r="O19" s="324"/>
      <c r="P19" s="391">
        <f>IF(ISBLANK(acc4_price),"",acc4_price)</f>
        <v>160</v>
      </c>
      <c r="Q19" s="391"/>
      <c r="R19" s="391"/>
      <c r="S19" s="391"/>
      <c r="T19" s="299" t="str">
        <f>IF(acc4_qty&gt;0,acc4_qty*acc4_price,"")</f>
        <v/>
      </c>
      <c r="U19" s="300"/>
      <c r="V19" s="301"/>
      <c r="X19" s="86"/>
      <c r="Y19" s="40"/>
      <c r="Z19" s="40"/>
      <c r="AA19" s="87"/>
      <c r="AB19" s="124"/>
    </row>
    <row r="20" spans="1:28" ht="21" customHeight="1" thickBot="1">
      <c r="A20" s="119"/>
      <c r="B20" s="399" t="str">
        <f>IF(ISBLANK(acc5_name),"",acc5_name)</f>
        <v>Display case engravings</v>
      </c>
      <c r="C20" s="400"/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325">
        <f>'4 Display Case'!D23</f>
        <v>0</v>
      </c>
      <c r="O20" s="325"/>
      <c r="P20" s="401">
        <f>IF(ISBLANK(acc5_price),"",acc5_price)</f>
        <v>45</v>
      </c>
      <c r="Q20" s="401"/>
      <c r="R20" s="401"/>
      <c r="S20" s="401"/>
      <c r="T20" s="302" t="str">
        <f>IF(acc5_qty&gt;0,acc5_qty*acc5_price,"")</f>
        <v/>
      </c>
      <c r="U20" s="303"/>
      <c r="V20" s="304"/>
      <c r="X20" s="88"/>
      <c r="Y20" s="89"/>
      <c r="Z20" s="89"/>
      <c r="AA20" s="90"/>
      <c r="AB20" s="124"/>
    </row>
    <row r="21" spans="1:28" ht="15" customHeight="1" thickTop="1" thickBot="1">
      <c r="A21" s="119"/>
      <c r="B21" s="416" t="s">
        <v>145</v>
      </c>
      <c r="C21" s="417"/>
      <c r="D21" s="417"/>
      <c r="E21" s="417"/>
      <c r="F21" s="417"/>
      <c r="G21" s="417"/>
      <c r="H21" s="420" t="s">
        <v>146</v>
      </c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305">
        <v>0</v>
      </c>
      <c r="U21" s="306"/>
      <c r="V21" s="307"/>
      <c r="X21" s="86"/>
      <c r="Y21" s="40"/>
      <c r="Z21" s="40"/>
      <c r="AA21" s="87"/>
      <c r="AB21" s="124"/>
    </row>
    <row r="22" spans="1:28" ht="16.05" customHeight="1" thickBot="1">
      <c r="A22" s="119"/>
      <c r="B22" s="418"/>
      <c r="C22" s="419"/>
      <c r="D22" s="419"/>
      <c r="E22" s="419"/>
      <c r="F22" s="419"/>
      <c r="G22" s="419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308">
        <v>0</v>
      </c>
      <c r="U22" s="309"/>
      <c r="V22" s="310"/>
      <c r="X22" s="63" t="s">
        <v>127</v>
      </c>
      <c r="Y22" s="439" t="str">
        <f>IF(FFL_choice=1,"",IF(FFL_choice=2,COS_FFL,DFW_FFL))</f>
        <v/>
      </c>
      <c r="Z22" s="439"/>
      <c r="AA22" s="440"/>
      <c r="AB22" s="124"/>
    </row>
    <row r="23" spans="1:28" ht="18" customHeight="1" thickBot="1">
      <c r="A23" s="119"/>
      <c r="B23" s="454" t="s">
        <v>147</v>
      </c>
      <c r="C23" s="455"/>
      <c r="D23" s="455"/>
      <c r="E23" s="455"/>
      <c r="F23" s="455"/>
      <c r="G23" s="455"/>
      <c r="H23" s="455"/>
      <c r="I23" s="455"/>
      <c r="J23" s="455"/>
      <c r="K23" s="455"/>
      <c r="L23" s="455"/>
      <c r="M23" s="455"/>
      <c r="N23" s="455"/>
      <c r="O23" s="455"/>
      <c r="P23" s="455"/>
      <c r="Q23" s="455"/>
      <c r="R23" s="455"/>
      <c r="S23" s="455"/>
      <c r="T23" s="311">
        <f>shipping_price*COUNTA(N5)</f>
        <v>0</v>
      </c>
      <c r="U23" s="312"/>
      <c r="V23" s="313"/>
      <c r="X23" s="441" t="s">
        <v>126</v>
      </c>
      <c r="Y23" s="442"/>
      <c r="Z23" s="442"/>
      <c r="AA23" s="443"/>
      <c r="AB23" s="124"/>
    </row>
    <row r="24" spans="1:28" ht="16.8" thickTop="1" thickBot="1">
      <c r="A24" s="119"/>
      <c r="B24" s="456" t="s">
        <v>148</v>
      </c>
      <c r="C24" s="457"/>
      <c r="D24" s="457"/>
      <c r="E24" s="457"/>
      <c r="F24" s="457"/>
      <c r="G24" s="457"/>
      <c r="H24" s="457"/>
      <c r="I24" s="457"/>
      <c r="J24" s="457"/>
      <c r="K24" s="457"/>
      <c r="L24" s="457"/>
      <c r="M24" s="457"/>
      <c r="N24" s="457"/>
      <c r="O24" s="457"/>
      <c r="P24" s="457"/>
      <c r="Q24" s="457"/>
      <c r="R24" s="457"/>
      <c r="S24" s="457"/>
      <c r="T24" s="296">
        <f>gun_subtotal+SUM(T15:V22)+T23</f>
        <v>0</v>
      </c>
      <c r="U24" s="297"/>
      <c r="V24" s="298"/>
      <c r="X24" s="433" t="str">
        <f>IF(FFL_choice=1,"",IF(FFL_choice=2,COS_FFL_Address1,DFW_FFL_Address1))</f>
        <v/>
      </c>
      <c r="Y24" s="434"/>
      <c r="Z24" s="434"/>
      <c r="AA24" s="435"/>
      <c r="AB24" s="124"/>
    </row>
    <row r="25" spans="1:28" ht="15.6" thickTop="1">
      <c r="A25" s="119"/>
      <c r="B25" s="377" t="s">
        <v>154</v>
      </c>
      <c r="C25" s="378"/>
      <c r="D25" s="378"/>
      <c r="E25" s="378"/>
      <c r="F25" s="378"/>
      <c r="G25" s="378"/>
      <c r="H25" s="378"/>
      <c r="I25" s="378"/>
      <c r="J25" s="378"/>
      <c r="K25" s="378"/>
      <c r="L25" s="375" t="s">
        <v>162</v>
      </c>
      <c r="M25" s="375"/>
      <c r="N25" s="375"/>
      <c r="O25" s="375"/>
      <c r="P25" s="375" t="s">
        <v>163</v>
      </c>
      <c r="Q25" s="375"/>
      <c r="R25" s="375"/>
      <c r="S25" s="375"/>
      <c r="T25" s="382">
        <f>taxable_subtotal*sales_tax_rate</f>
        <v>0</v>
      </c>
      <c r="U25" s="383"/>
      <c r="V25" s="384"/>
      <c r="X25" s="436" t="str">
        <f>IF(FFL_choice=1," ",IF(FFL_choice=2,COS_FFL_Address2,DFW_FFL_Address2))</f>
        <v xml:space="preserve"> </v>
      </c>
      <c r="Y25" s="437"/>
      <c r="Z25" s="437"/>
      <c r="AA25" s="438"/>
      <c r="AB25" s="124"/>
    </row>
    <row r="26" spans="1:28" ht="15.6" thickBot="1">
      <c r="A26" s="119"/>
      <c r="B26" s="379" t="s">
        <v>161</v>
      </c>
      <c r="C26" s="380"/>
      <c r="D26" s="380"/>
      <c r="E26" s="380"/>
      <c r="F26" s="380"/>
      <c r="G26" s="380"/>
      <c r="H26" s="380"/>
      <c r="I26" s="380"/>
      <c r="J26" s="380"/>
      <c r="K26" s="380"/>
      <c r="L26" s="381" t="str">
        <f>ffl_state</f>
        <v/>
      </c>
      <c r="M26" s="381"/>
      <c r="N26" s="381"/>
      <c r="O26" s="381"/>
      <c r="P26" s="376">
        <f>IF(ISERROR(VLOOKUP(ffl_state,'Option pricing'!A9:B27,2,0)),0,VLOOKUP(L26,'Option pricing'!A9:B27,2,0))</f>
        <v>0</v>
      </c>
      <c r="Q26" s="376"/>
      <c r="R26" s="376"/>
      <c r="S26" s="376"/>
      <c r="T26" s="385"/>
      <c r="U26" s="386"/>
      <c r="V26" s="387"/>
      <c r="X26" s="64" t="s">
        <v>124</v>
      </c>
      <c r="Y26" s="329" t="str">
        <f>IF(FFL_choice=1,"",IF(FFL_choice=2,COS_FFL_city,DFW_FFL_city))</f>
        <v/>
      </c>
      <c r="Z26" s="330"/>
      <c r="AA26" s="331"/>
      <c r="AB26" s="124"/>
    </row>
    <row r="27" spans="1:28" ht="15.6" thickTop="1">
      <c r="A27" s="119"/>
      <c r="B27" s="358" t="s">
        <v>167</v>
      </c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82">
        <f>taxable_subtotal+sales_tax_amount</f>
        <v>0</v>
      </c>
      <c r="U27" s="383"/>
      <c r="V27" s="384"/>
      <c r="X27" s="64" t="s">
        <v>115</v>
      </c>
      <c r="Y27" s="83" t="str">
        <f>IF(FFL_choice=1,"",IF(FFL_choice=2,COS_FFL_State,DFW_FFL_State))</f>
        <v/>
      </c>
      <c r="Z27" s="65" t="s">
        <v>116</v>
      </c>
      <c r="AA27" s="84" t="str">
        <f>IF(FFL_choice=1,"",IF(FFL_choice=2,COS_FFL_zip,DFW_FFL_zip))</f>
        <v/>
      </c>
      <c r="AB27" s="124"/>
    </row>
    <row r="28" spans="1:28" ht="15.6" thickBot="1">
      <c r="A28" s="119"/>
      <c r="B28" s="360"/>
      <c r="C28" s="361"/>
      <c r="D28" s="361"/>
      <c r="E28" s="361"/>
      <c r="F28" s="361"/>
      <c r="G28" s="361"/>
      <c r="H28" s="361"/>
      <c r="I28" s="361"/>
      <c r="J28" s="361"/>
      <c r="K28" s="361"/>
      <c r="L28" s="361"/>
      <c r="M28" s="361"/>
      <c r="N28" s="361"/>
      <c r="O28" s="361"/>
      <c r="P28" s="361"/>
      <c r="Q28" s="361"/>
      <c r="R28" s="361"/>
      <c r="S28" s="361"/>
      <c r="T28" s="385"/>
      <c r="U28" s="386"/>
      <c r="V28" s="387"/>
      <c r="X28" s="66" t="s">
        <v>125</v>
      </c>
      <c r="Y28" s="372" t="str">
        <f>IF(FFL_choice=1,"",IF(FFL_choice=2,COS_FFL_phone,DFW_FFL_phone))</f>
        <v/>
      </c>
      <c r="Z28" s="373"/>
      <c r="AA28" s="374"/>
      <c r="AB28" s="124"/>
    </row>
    <row r="29" spans="1:28" ht="16.2" thickTop="1">
      <c r="A29" s="119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8"/>
      <c r="U29" s="68"/>
      <c r="V29" s="68"/>
      <c r="AB29" s="124"/>
    </row>
    <row r="30" spans="1:28" ht="17.399999999999999">
      <c r="A30" s="123"/>
      <c r="B30" s="352" t="s">
        <v>170</v>
      </c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3"/>
      <c r="W30" s="353"/>
      <c r="X30" s="353"/>
      <c r="Y30" s="353"/>
      <c r="Z30" s="353"/>
      <c r="AA30" s="354"/>
      <c r="AB30" s="124"/>
    </row>
    <row r="31" spans="1:28" ht="15.6">
      <c r="A31" s="119"/>
      <c r="B31" s="334" t="s">
        <v>149</v>
      </c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X31" s="332" t="s">
        <v>168</v>
      </c>
      <c r="Y31" s="332"/>
      <c r="Z31" s="332"/>
      <c r="AA31" s="69" t="s">
        <v>169</v>
      </c>
      <c r="AB31" s="124"/>
    </row>
    <row r="32" spans="1:28" ht="15.6">
      <c r="A32" s="119"/>
      <c r="B32" s="335" t="s">
        <v>160</v>
      </c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X32" s="333"/>
      <c r="Y32" s="333"/>
      <c r="Z32" s="333"/>
      <c r="AA32" s="85"/>
      <c r="AB32" s="124"/>
    </row>
    <row r="33" spans="1:28">
      <c r="A33" s="119"/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X33" s="71" t="s">
        <v>175</v>
      </c>
      <c r="AB33" s="124"/>
    </row>
    <row r="34" spans="1:28" ht="16.95" customHeight="1" thickBot="1">
      <c r="A34" s="119"/>
      <c r="B34" s="72"/>
      <c r="C34" s="365" t="s">
        <v>150</v>
      </c>
      <c r="D34" s="365"/>
      <c r="E34" s="365"/>
      <c r="F34" s="365"/>
      <c r="G34" s="365"/>
      <c r="H34" s="365"/>
      <c r="I34" s="365"/>
      <c r="J34" s="365"/>
      <c r="K34" s="365"/>
      <c r="L34" s="365"/>
      <c r="M34" s="365"/>
      <c r="N34" s="365"/>
      <c r="O34" s="365"/>
      <c r="P34" s="365"/>
      <c r="Q34" s="365"/>
      <c r="R34" s="365"/>
      <c r="S34" s="365"/>
      <c r="T34" s="365"/>
      <c r="U34" s="365"/>
      <c r="V34" s="72"/>
      <c r="X34" s="427"/>
      <c r="Y34" s="428"/>
      <c r="Z34" s="428"/>
      <c r="AA34" s="429"/>
      <c r="AB34" s="124"/>
    </row>
    <row r="35" spans="1:28" ht="15.6" thickBot="1">
      <c r="A35" s="119"/>
      <c r="B35" s="73"/>
      <c r="C35" s="388"/>
      <c r="D35" s="389"/>
      <c r="E35" s="389"/>
      <c r="F35" s="390"/>
      <c r="G35" s="70"/>
      <c r="H35" s="388"/>
      <c r="I35" s="389"/>
      <c r="J35" s="389"/>
      <c r="K35" s="390"/>
      <c r="L35" s="73"/>
      <c r="M35" s="388"/>
      <c r="N35" s="389"/>
      <c r="O35" s="389"/>
      <c r="P35" s="390"/>
      <c r="Q35" s="73"/>
      <c r="R35" s="388"/>
      <c r="S35" s="389"/>
      <c r="T35" s="389"/>
      <c r="U35" s="390"/>
      <c r="V35" s="74"/>
      <c r="X35" s="430"/>
      <c r="Y35" s="431"/>
      <c r="Z35" s="431"/>
      <c r="AA35" s="432"/>
      <c r="AB35" s="124"/>
    </row>
    <row r="36" spans="1:28">
      <c r="A36" s="119"/>
      <c r="B36" s="362"/>
      <c r="C36" s="362"/>
      <c r="D36" s="362"/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362"/>
      <c r="V36" s="362"/>
      <c r="X36" s="75" t="s">
        <v>114</v>
      </c>
      <c r="Y36" s="329"/>
      <c r="Z36" s="330"/>
      <c r="AA36" s="331"/>
      <c r="AB36" s="124"/>
    </row>
    <row r="37" spans="1:28" ht="15.6">
      <c r="A37" s="119"/>
      <c r="B37" s="70"/>
      <c r="C37" s="70"/>
      <c r="D37" s="70"/>
      <c r="E37" s="70"/>
      <c r="F37" s="364" t="s">
        <v>151</v>
      </c>
      <c r="G37" s="364"/>
      <c r="H37" s="364"/>
      <c r="I37" s="364"/>
      <c r="J37" s="364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X37" s="75" t="s">
        <v>115</v>
      </c>
      <c r="Y37" s="83"/>
      <c r="Z37" s="77" t="s">
        <v>116</v>
      </c>
      <c r="AA37" s="84"/>
      <c r="AB37" s="124"/>
    </row>
    <row r="38" spans="1:28" ht="15.6" thickBot="1">
      <c r="A38" s="119"/>
      <c r="B38" s="70"/>
      <c r="C38" s="70"/>
      <c r="D38" s="70"/>
      <c r="E38" s="70"/>
      <c r="F38" s="366" t="s">
        <v>152</v>
      </c>
      <c r="G38" s="366"/>
      <c r="H38" s="366"/>
      <c r="I38" s="366"/>
      <c r="J38" s="366"/>
      <c r="K38" s="78"/>
      <c r="L38" s="70"/>
      <c r="M38" s="70"/>
      <c r="N38" s="70"/>
      <c r="O38" s="70"/>
      <c r="P38" s="367" t="s">
        <v>153</v>
      </c>
      <c r="Q38" s="367"/>
      <c r="R38" s="367"/>
      <c r="S38" s="367"/>
      <c r="T38" s="367"/>
      <c r="U38" s="367"/>
      <c r="V38" s="70"/>
      <c r="X38" s="79" t="s">
        <v>117</v>
      </c>
      <c r="Y38" s="372"/>
      <c r="Z38" s="373"/>
      <c r="AA38" s="374"/>
      <c r="AB38" s="124"/>
    </row>
    <row r="39" spans="1:28" ht="16.2" thickTop="1" thickBot="1">
      <c r="A39" s="119"/>
      <c r="B39" s="70"/>
      <c r="C39" s="70"/>
      <c r="D39" s="70"/>
      <c r="E39" s="70"/>
      <c r="F39" s="80"/>
      <c r="G39" s="388"/>
      <c r="H39" s="389"/>
      <c r="I39" s="389"/>
      <c r="J39" s="390"/>
      <c r="K39" s="81"/>
      <c r="L39" s="70"/>
      <c r="M39" s="70"/>
      <c r="N39" s="70"/>
      <c r="O39" s="70"/>
      <c r="P39" s="80"/>
      <c r="Q39" s="388"/>
      <c r="R39" s="389"/>
      <c r="S39" s="389"/>
      <c r="T39" s="390"/>
      <c r="U39" s="81"/>
      <c r="V39" s="70"/>
      <c r="AB39" s="124"/>
    </row>
    <row r="40" spans="1:28" ht="15.6" thickBot="1">
      <c r="A40" s="119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X40" s="371" t="s">
        <v>173</v>
      </c>
      <c r="Y40" s="371"/>
      <c r="Z40" s="371"/>
      <c r="AA40" s="371"/>
      <c r="AB40" s="124"/>
    </row>
    <row r="41" spans="1:28">
      <c r="A41" s="119"/>
      <c r="X41" s="368" t="s">
        <v>171</v>
      </c>
      <c r="Y41" s="369"/>
      <c r="Z41" s="369" t="s">
        <v>172</v>
      </c>
      <c r="AA41" s="370"/>
      <c r="AB41" s="124"/>
    </row>
    <row r="42" spans="1:28" ht="15.6" thickBot="1">
      <c r="A42" s="119"/>
      <c r="X42" s="355"/>
      <c r="Y42" s="356"/>
      <c r="Z42" s="356"/>
      <c r="AA42" s="357"/>
      <c r="AB42" s="124"/>
    </row>
    <row r="43" spans="1:28">
      <c r="A43" s="119"/>
      <c r="C43" s="328" t="s">
        <v>204</v>
      </c>
      <c r="D43" s="328"/>
      <c r="E43" s="328"/>
      <c r="F43" s="328"/>
      <c r="G43" s="328"/>
      <c r="H43" s="328"/>
      <c r="I43" s="283">
        <v>45578</v>
      </c>
      <c r="J43" s="283"/>
      <c r="K43" s="283"/>
      <c r="L43" s="283"/>
      <c r="M43" s="283"/>
      <c r="N43" s="283"/>
      <c r="O43" s="82"/>
      <c r="P43" s="82"/>
      <c r="Q43" s="82"/>
      <c r="AB43" s="124"/>
    </row>
    <row r="44" spans="1:28">
      <c r="A44" s="119"/>
      <c r="B44" s="124"/>
      <c r="C44" s="124"/>
      <c r="D44" s="124"/>
      <c r="E44" s="124"/>
      <c r="F44" s="119"/>
      <c r="G44" s="119"/>
      <c r="H44" s="119"/>
      <c r="I44" s="119"/>
      <c r="J44" s="119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</row>
  </sheetData>
  <sheetProtection selectLockedCells="1"/>
  <mergeCells count="107">
    <mergeCell ref="B5:M5"/>
    <mergeCell ref="B21:G22"/>
    <mergeCell ref="H21:S21"/>
    <mergeCell ref="H22:S22"/>
    <mergeCell ref="B6:S6"/>
    <mergeCell ref="B18:M18"/>
    <mergeCell ref="X5:AA5"/>
    <mergeCell ref="X34:AA34"/>
    <mergeCell ref="X35:AA35"/>
    <mergeCell ref="X24:AA24"/>
    <mergeCell ref="X25:AA25"/>
    <mergeCell ref="Y26:AA26"/>
    <mergeCell ref="Y28:AA28"/>
    <mergeCell ref="Y22:AA22"/>
    <mergeCell ref="X23:AA23"/>
    <mergeCell ref="X13:AA13"/>
    <mergeCell ref="Y10:AA10"/>
    <mergeCell ref="X12:AA12"/>
    <mergeCell ref="X8:AA8"/>
    <mergeCell ref="X9:Y9"/>
    <mergeCell ref="Z9:AA9"/>
    <mergeCell ref="B23:S23"/>
    <mergeCell ref="B24:S24"/>
    <mergeCell ref="N18:O18"/>
    <mergeCell ref="P19:S19"/>
    <mergeCell ref="N15:O15"/>
    <mergeCell ref="N16:O16"/>
    <mergeCell ref="N17:O17"/>
    <mergeCell ref="B11:M11"/>
    <mergeCell ref="B19:M19"/>
    <mergeCell ref="B20:M20"/>
    <mergeCell ref="P20:S20"/>
    <mergeCell ref="P15:S15"/>
    <mergeCell ref="P16:S16"/>
    <mergeCell ref="P17:S17"/>
    <mergeCell ref="P18:S18"/>
    <mergeCell ref="B15:M15"/>
    <mergeCell ref="B14:S14"/>
    <mergeCell ref="Q12:S13"/>
    <mergeCell ref="B13:P13"/>
    <mergeCell ref="B12:P12"/>
    <mergeCell ref="X41:Y41"/>
    <mergeCell ref="Z41:AA41"/>
    <mergeCell ref="X40:AA40"/>
    <mergeCell ref="Y38:AA38"/>
    <mergeCell ref="P25:S25"/>
    <mergeCell ref="P26:S26"/>
    <mergeCell ref="B25:K25"/>
    <mergeCell ref="B26:K26"/>
    <mergeCell ref="L25:O25"/>
    <mergeCell ref="L26:O26"/>
    <mergeCell ref="T25:V26"/>
    <mergeCell ref="T27:V28"/>
    <mergeCell ref="C35:F35"/>
    <mergeCell ref="H35:K35"/>
    <mergeCell ref="M35:P35"/>
    <mergeCell ref="R35:U35"/>
    <mergeCell ref="G39:J39"/>
    <mergeCell ref="Q39:T39"/>
    <mergeCell ref="Z2:AA3"/>
    <mergeCell ref="B2:Y2"/>
    <mergeCell ref="B3:Y3"/>
    <mergeCell ref="C43:H43"/>
    <mergeCell ref="Y36:AA36"/>
    <mergeCell ref="X31:Z31"/>
    <mergeCell ref="X32:Z32"/>
    <mergeCell ref="B31:V31"/>
    <mergeCell ref="B32:V32"/>
    <mergeCell ref="X14:AA14"/>
    <mergeCell ref="X15:AA18"/>
    <mergeCell ref="X6:AA7"/>
    <mergeCell ref="Z11:AA11"/>
    <mergeCell ref="X11:Y11"/>
    <mergeCell ref="B30:AA30"/>
    <mergeCell ref="X42:Y42"/>
    <mergeCell ref="Z42:AA42"/>
    <mergeCell ref="B27:S28"/>
    <mergeCell ref="B36:V36"/>
    <mergeCell ref="B33:V33"/>
    <mergeCell ref="F37:J37"/>
    <mergeCell ref="C34:U34"/>
    <mergeCell ref="F38:J38"/>
    <mergeCell ref="P38:U38"/>
    <mergeCell ref="T15:V15"/>
    <mergeCell ref="N11:S11"/>
    <mergeCell ref="B7:V9"/>
    <mergeCell ref="I43:N43"/>
    <mergeCell ref="N5:V5"/>
    <mergeCell ref="T6:V6"/>
    <mergeCell ref="T10:V11"/>
    <mergeCell ref="T12:V13"/>
    <mergeCell ref="T14:V14"/>
    <mergeCell ref="T16:V16"/>
    <mergeCell ref="T17:V17"/>
    <mergeCell ref="T18:V18"/>
    <mergeCell ref="T19:V19"/>
    <mergeCell ref="T20:V20"/>
    <mergeCell ref="T21:V21"/>
    <mergeCell ref="T22:V22"/>
    <mergeCell ref="T23:V23"/>
    <mergeCell ref="T24:V24"/>
    <mergeCell ref="N10:S10"/>
    <mergeCell ref="B10:M10"/>
    <mergeCell ref="B16:M16"/>
    <mergeCell ref="B17:M17"/>
    <mergeCell ref="N19:O19"/>
    <mergeCell ref="N20:O20"/>
  </mergeCells>
  <printOptions horizontalCentered="1"/>
  <pageMargins left="0.5" right="0.5" top="0.5" bottom="0.5" header="0.3" footer="0.3"/>
  <pageSetup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5" r:id="rId3" name="Option Button 15">
              <controlPr locked="0" defaultSize="0" autoFill="0" autoLine="0" autoPict="0" altText="Select to enter your own FFL or to use one of our pre-arranged FFLs in specific locations.">
                <anchor moveWithCells="1">
                  <from>
                    <xdr:col>23</xdr:col>
                    <xdr:colOff>15240</xdr:colOff>
                    <xdr:row>17</xdr:row>
                    <xdr:rowOff>190500</xdr:rowOff>
                  </from>
                  <to>
                    <xdr:col>25</xdr:col>
                    <xdr:colOff>365760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4" name="Option Button 16">
              <controlPr defaultSize="0" autoFill="0" autoLine="0" autoPict="0" altText="Select to enter your own FFL or to use one of our pre-arranged FFLs in specific locations.">
                <anchor moveWithCells="1">
                  <from>
                    <xdr:col>23</xdr:col>
                    <xdr:colOff>15240</xdr:colOff>
                    <xdr:row>19</xdr:row>
                    <xdr:rowOff>22860</xdr:rowOff>
                  </from>
                  <to>
                    <xdr:col>26</xdr:col>
                    <xdr:colOff>472440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5" name="Option Button 17">
              <controlPr defaultSize="0" autoFill="0" autoLine="0" autoPict="0" altText="Select to enter your own FFL or to use one of our pre-arranged FFLs in specific locations.">
                <anchor moveWithCells="1">
                  <from>
                    <xdr:col>23</xdr:col>
                    <xdr:colOff>15240</xdr:colOff>
                    <xdr:row>19</xdr:row>
                    <xdr:rowOff>243840</xdr:rowOff>
                  </from>
                  <to>
                    <xdr:col>25</xdr:col>
                    <xdr:colOff>358140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6" name="Check Box 29">
              <controlPr defaultSize="0" autoFill="0" autoLine="0" autoPict="0">
                <anchor moveWithCells="1">
                  <from>
                    <xdr:col>23</xdr:col>
                    <xdr:colOff>99060</xdr:colOff>
                    <xdr:row>10</xdr:row>
                    <xdr:rowOff>205740</xdr:rowOff>
                  </from>
                  <to>
                    <xdr:col>26</xdr:col>
                    <xdr:colOff>723900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xr:uid="{D6CA93DF-DB79-2240-BBF5-C9674E6D470C}">
          <x14:formula1>
            <xm:f>'Gun Pricing'!$D$5:$D$48</xm:f>
          </x14:formula1>
          <xm:sqref>N5</xm:sqref>
        </x14:dataValidation>
        <x14:dataValidation type="list" errorStyle="warning" allowBlank="1" showInputMessage="1" showErrorMessage="1" errorTitle="Sight update" error="Reselect Sight type from pull-down menu" promptTitle="Sight Selection" prompt="You must re-select sight type every time you change the model." xr:uid="{61C03D85-3C61-D448-9AE4-54C6FEB407AB}">
          <x14:formula1>
            <xm:f>_xlfn.ANCHORARRAY('Gun Pricing'!$L$3)</xm:f>
          </x14:formula1>
          <xm:sqref>N10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FB3F7-5E41-B34A-A06E-7321659518C5}">
  <sheetPr>
    <tabColor theme="9"/>
  </sheetPr>
  <dimension ref="A1:P20"/>
  <sheetViews>
    <sheetView showGridLines="0" zoomScale="133" zoomScaleNormal="133" workbookViewId="0">
      <selection activeCell="D20" sqref="D20"/>
    </sheetView>
  </sheetViews>
  <sheetFormatPr defaultColWidth="10.90625" defaultRowHeight="15"/>
  <cols>
    <col min="1" max="1" width="3.7265625" customWidth="1"/>
    <col min="2" max="2" width="7.1796875" customWidth="1"/>
    <col min="3" max="3" width="13.54296875" customWidth="1"/>
    <col min="4" max="4" width="6.54296875" customWidth="1"/>
    <col min="5" max="5" width="14.7265625" customWidth="1"/>
    <col min="6" max="6" width="6.453125" customWidth="1"/>
    <col min="7" max="7" width="8.453125" customWidth="1"/>
    <col min="8" max="8" width="7.81640625" customWidth="1"/>
    <col min="9" max="9" width="10.1796875" customWidth="1"/>
    <col min="10" max="10" width="3.7265625" customWidth="1"/>
  </cols>
  <sheetData>
    <row r="1" spans="1:16">
      <c r="A1" s="124"/>
      <c r="B1" s="124"/>
      <c r="C1" s="124"/>
      <c r="D1" s="124"/>
      <c r="E1" s="124"/>
      <c r="F1" s="124"/>
      <c r="G1" s="124"/>
      <c r="H1" s="124"/>
      <c r="I1" s="124"/>
      <c r="J1" s="124"/>
    </row>
    <row r="2" spans="1:16" ht="22.95" customHeight="1">
      <c r="A2" s="124"/>
      <c r="B2" s="468" t="s">
        <v>103</v>
      </c>
      <c r="C2" s="468"/>
      <c r="D2" s="468"/>
      <c r="E2" s="468"/>
      <c r="F2" s="468"/>
      <c r="G2" s="468"/>
      <c r="H2" s="468"/>
      <c r="I2" t="e" vm="2">
        <v>#VALUE!</v>
      </c>
      <c r="J2" s="124"/>
    </row>
    <row r="3" spans="1:16" ht="31.95" customHeight="1">
      <c r="A3" s="124"/>
      <c r="B3" s="52" t="s">
        <v>98</v>
      </c>
      <c r="C3" s="53" t="str">
        <f>owner_name_first&amp;" "&amp;owner_name_last</f>
        <v xml:space="preserve"> </v>
      </c>
      <c r="D3" s="52" t="s">
        <v>99</v>
      </c>
      <c r="E3" s="53" t="e">
        <f>LEFT('1 Input_Form'!N5,(SEARCH("-",'1 Input_Form'!N5)-2))&amp;" - "&amp;sight_model</f>
        <v>#VALUE!</v>
      </c>
      <c r="F3" s="54" t="s">
        <v>101</v>
      </c>
      <c r="G3" s="55">
        <f>order_number</f>
        <v>0</v>
      </c>
      <c r="H3" s="52" t="s">
        <v>100</v>
      </c>
      <c r="I3" s="55">
        <f>serial_number</f>
        <v>0</v>
      </c>
      <c r="J3" s="124"/>
      <c r="M3" s="37"/>
    </row>
    <row r="4" spans="1:16" ht="15.6">
      <c r="A4" s="124"/>
      <c r="B4" s="465" t="s">
        <v>183</v>
      </c>
      <c r="C4" s="465"/>
      <c r="D4" s="465"/>
      <c r="E4" s="465"/>
      <c r="F4" s="465"/>
      <c r="G4" s="465"/>
      <c r="H4" s="465"/>
      <c r="I4" s="465"/>
      <c r="J4" s="124"/>
      <c r="M4" s="37"/>
    </row>
    <row r="5" spans="1:16" ht="49.05" customHeight="1">
      <c r="A5" s="124"/>
      <c r="B5" s="466" t="s">
        <v>225</v>
      </c>
      <c r="C5" s="465"/>
      <c r="D5" s="465"/>
      <c r="E5" s="465"/>
      <c r="F5" s="465"/>
      <c r="G5" s="465"/>
      <c r="H5" s="465"/>
      <c r="I5" s="465"/>
      <c r="J5" s="124"/>
      <c r="M5" s="37"/>
    </row>
    <row r="6" spans="1:16" ht="235.05" customHeight="1">
      <c r="A6" s="124"/>
      <c r="B6" s="464" t="e" vm="3">
        <v>#VALUE!</v>
      </c>
      <c r="C6" s="464"/>
      <c r="D6" s="464"/>
      <c r="E6" s="464"/>
      <c r="F6" s="464"/>
      <c r="G6" s="464"/>
      <c r="H6" s="464"/>
      <c r="I6" s="464"/>
      <c r="J6" s="124"/>
    </row>
    <row r="7" spans="1:16" ht="15.6">
      <c r="A7" s="124"/>
      <c r="B7" s="463" t="s">
        <v>104</v>
      </c>
      <c r="C7" s="463"/>
      <c r="D7" s="467" t="s">
        <v>102</v>
      </c>
      <c r="E7" s="467"/>
      <c r="F7" s="467"/>
      <c r="G7" s="467"/>
      <c r="H7" s="467"/>
      <c r="I7" s="467"/>
      <c r="J7" s="124"/>
    </row>
    <row r="8" spans="1:16" s="34" customFormat="1" ht="30" customHeight="1">
      <c r="A8" s="126"/>
      <c r="B8" s="38">
        <v>1</v>
      </c>
      <c r="C8" s="143" t="s">
        <v>89</v>
      </c>
      <c r="D8" s="459"/>
      <c r="E8" s="460"/>
      <c r="F8" s="460"/>
      <c r="G8" s="460"/>
      <c r="H8" s="460"/>
      <c r="I8" s="461"/>
      <c r="J8" s="124"/>
      <c r="K8"/>
      <c r="L8"/>
      <c r="M8"/>
      <c r="N8"/>
      <c r="O8"/>
      <c r="P8"/>
    </row>
    <row r="9" spans="1:16" ht="30" customHeight="1">
      <c r="A9" s="124"/>
      <c r="B9" s="38">
        <v>2</v>
      </c>
      <c r="C9" s="143" t="s">
        <v>107</v>
      </c>
      <c r="D9" s="459"/>
      <c r="E9" s="460"/>
      <c r="F9" s="460"/>
      <c r="G9" s="460"/>
      <c r="H9" s="460"/>
      <c r="I9" s="461"/>
      <c r="J9" s="124"/>
    </row>
    <row r="10" spans="1:16" ht="30" customHeight="1">
      <c r="A10" s="124"/>
      <c r="B10" s="38">
        <v>3</v>
      </c>
      <c r="C10" s="143" t="s">
        <v>96</v>
      </c>
      <c r="D10" s="459"/>
      <c r="E10" s="460"/>
      <c r="F10" s="460"/>
      <c r="G10" s="460"/>
      <c r="H10" s="460"/>
      <c r="I10" s="461"/>
      <c r="J10" s="124"/>
    </row>
    <row r="11" spans="1:16" ht="30" customHeight="1">
      <c r="A11" s="124"/>
      <c r="B11" s="38">
        <v>4</v>
      </c>
      <c r="C11" s="143" t="s">
        <v>97</v>
      </c>
      <c r="D11" s="459"/>
      <c r="E11" s="460"/>
      <c r="F11" s="460"/>
      <c r="G11" s="460"/>
      <c r="H11" s="460"/>
      <c r="I11" s="461"/>
      <c r="J11" s="124"/>
    </row>
    <row r="12" spans="1:16" ht="30" customHeight="1">
      <c r="A12" s="124"/>
      <c r="B12" s="38">
        <v>5</v>
      </c>
      <c r="C12" s="143" t="s">
        <v>90</v>
      </c>
      <c r="D12" s="459"/>
      <c r="E12" s="460"/>
      <c r="F12" s="460"/>
      <c r="G12" s="460"/>
      <c r="H12" s="460"/>
      <c r="I12" s="461"/>
      <c r="J12" s="124"/>
    </row>
    <row r="13" spans="1:16" ht="30" customHeight="1">
      <c r="A13" s="124"/>
      <c r="B13" s="38">
        <v>6</v>
      </c>
      <c r="C13" s="143" t="s">
        <v>91</v>
      </c>
      <c r="D13" s="459"/>
      <c r="E13" s="460"/>
      <c r="F13" s="460"/>
      <c r="G13" s="460"/>
      <c r="H13" s="460"/>
      <c r="I13" s="461"/>
      <c r="J13" s="124"/>
    </row>
    <row r="14" spans="1:16" ht="30" customHeight="1">
      <c r="A14" s="124"/>
      <c r="B14" s="38">
        <v>7</v>
      </c>
      <c r="C14" s="143" t="s">
        <v>92</v>
      </c>
      <c r="D14" s="459"/>
      <c r="E14" s="460"/>
      <c r="F14" s="460"/>
      <c r="G14" s="460"/>
      <c r="H14" s="460"/>
      <c r="I14" s="461"/>
      <c r="J14" s="124"/>
    </row>
    <row r="15" spans="1:16" ht="30" customHeight="1">
      <c r="A15" s="124"/>
      <c r="B15" s="38">
        <v>8</v>
      </c>
      <c r="C15" s="143" t="s">
        <v>93</v>
      </c>
      <c r="D15" s="459"/>
      <c r="E15" s="460"/>
      <c r="F15" s="460"/>
      <c r="G15" s="460"/>
      <c r="H15" s="460"/>
      <c r="I15" s="461"/>
      <c r="J15" s="124"/>
    </row>
    <row r="16" spans="1:16" ht="30" customHeight="1">
      <c r="A16" s="124"/>
      <c r="B16" s="38">
        <v>9</v>
      </c>
      <c r="C16" s="143" t="s">
        <v>94</v>
      </c>
      <c r="D16" s="459"/>
      <c r="E16" s="460"/>
      <c r="F16" s="460"/>
      <c r="G16" s="460"/>
      <c r="H16" s="460"/>
      <c r="I16" s="461"/>
      <c r="J16" s="124"/>
    </row>
    <row r="17" spans="1:10" ht="30" customHeight="1">
      <c r="A17" s="124"/>
      <c r="B17" s="38">
        <v>10</v>
      </c>
      <c r="C17" s="143" t="s">
        <v>95</v>
      </c>
      <c r="D17" s="459"/>
      <c r="E17" s="460"/>
      <c r="F17" s="460"/>
      <c r="G17" s="460"/>
      <c r="H17" s="460"/>
      <c r="I17" s="461"/>
      <c r="J17" s="124"/>
    </row>
    <row r="18" spans="1:10" ht="15.6">
      <c r="A18" s="124"/>
      <c r="B18" s="462" t="s">
        <v>184</v>
      </c>
      <c r="C18" s="462"/>
      <c r="D18" s="462"/>
      <c r="E18" s="462"/>
      <c r="F18" s="462"/>
      <c r="G18" s="462"/>
      <c r="H18" s="462"/>
      <c r="I18" s="462"/>
      <c r="J18" s="124"/>
    </row>
    <row r="19" spans="1:10">
      <c r="A19" s="124"/>
      <c r="C19" s="82" t="s">
        <v>204</v>
      </c>
      <c r="D19" s="458">
        <v>45453</v>
      </c>
      <c r="E19" s="458"/>
      <c r="F19" s="82"/>
      <c r="G19" s="82"/>
      <c r="H19" s="82"/>
      <c r="J19" s="124"/>
    </row>
    <row r="20" spans="1:10">
      <c r="A20" s="124"/>
      <c r="B20" s="124"/>
      <c r="C20" s="124"/>
      <c r="D20" s="124"/>
      <c r="E20" s="124"/>
      <c r="F20" s="124"/>
      <c r="G20" s="124"/>
      <c r="H20" s="124"/>
      <c r="I20" s="124"/>
      <c r="J20" s="124"/>
    </row>
  </sheetData>
  <sheetProtection selectLockedCells="1"/>
  <mergeCells count="18">
    <mergeCell ref="B4:I4"/>
    <mergeCell ref="B5:I5"/>
    <mergeCell ref="D7:I7"/>
    <mergeCell ref="B2:H2"/>
    <mergeCell ref="D11:I11"/>
    <mergeCell ref="D12:I12"/>
    <mergeCell ref="D10:I10"/>
    <mergeCell ref="B7:C7"/>
    <mergeCell ref="B6:I6"/>
    <mergeCell ref="D8:I8"/>
    <mergeCell ref="D9:I9"/>
    <mergeCell ref="D19:E19"/>
    <mergeCell ref="D13:I13"/>
    <mergeCell ref="D14:I14"/>
    <mergeCell ref="D15:I15"/>
    <mergeCell ref="D16:I16"/>
    <mergeCell ref="B18:I18"/>
    <mergeCell ref="D17:I17"/>
  </mergeCells>
  <printOptions horizontalCentered="1" verticalCentered="1"/>
  <pageMargins left="0.5" right="0.5" top="0.3" bottom="0.5" header="0.3" footer="0.3"/>
  <pageSetup orientation="portrait" horizontalDpi="0" verticalDpi="0"/>
  <headerFooter>
    <oddFooter>&amp;L&amp;"Arial,Regular"&amp;K000000&amp;F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03747-B8BF-4345-8414-5A8997C73CD9}">
  <sheetPr>
    <tabColor theme="9"/>
  </sheetPr>
  <dimension ref="A1:I36"/>
  <sheetViews>
    <sheetView showGridLines="0" showRowColHeaders="0" zoomScale="133" zoomScaleNormal="133" workbookViewId="0">
      <selection activeCell="D9" sqref="D9:G9"/>
    </sheetView>
  </sheetViews>
  <sheetFormatPr defaultColWidth="10.90625" defaultRowHeight="15"/>
  <cols>
    <col min="1" max="1" width="3.7265625" customWidth="1"/>
    <col min="2" max="2" width="11.7265625" customWidth="1"/>
    <col min="3" max="3" width="9.54296875" customWidth="1"/>
    <col min="4" max="4" width="11" customWidth="1"/>
    <col min="5" max="6" width="12.7265625" customWidth="1"/>
    <col min="7" max="7" width="15.81640625" customWidth="1"/>
    <col min="8" max="8" width="2.26953125" customWidth="1"/>
    <col min="9" max="9" width="3.7265625" customWidth="1"/>
  </cols>
  <sheetData>
    <row r="1" spans="1:9" ht="24" customHeight="1">
      <c r="A1" s="127"/>
      <c r="B1" s="127"/>
      <c r="C1" s="127"/>
      <c r="D1" s="127"/>
      <c r="E1" s="127"/>
      <c r="F1" s="127"/>
      <c r="G1" s="127"/>
      <c r="H1" s="127"/>
      <c r="I1" s="127"/>
    </row>
    <row r="2" spans="1:9">
      <c r="A2" s="127"/>
      <c r="B2" s="464" t="e" vm="2">
        <v>#VALUE!</v>
      </c>
      <c r="C2" s="464"/>
      <c r="D2" s="469" t="s">
        <v>205</v>
      </c>
      <c r="E2" s="469"/>
      <c r="F2" s="469"/>
      <c r="G2" s="464" t="e" vm="1">
        <v>#VALUE!</v>
      </c>
      <c r="H2" s="5"/>
      <c r="I2" s="127"/>
    </row>
    <row r="3" spans="1:9">
      <c r="A3" s="127"/>
      <c r="B3" s="464"/>
      <c r="C3" s="464"/>
      <c r="D3" s="469"/>
      <c r="E3" s="469"/>
      <c r="F3" s="469"/>
      <c r="G3" s="464"/>
      <c r="H3" s="5"/>
      <c r="I3" s="127"/>
    </row>
    <row r="4" spans="1:9">
      <c r="A4" s="127"/>
      <c r="B4" s="464"/>
      <c r="C4" s="464"/>
      <c r="D4" s="469"/>
      <c r="E4" s="469"/>
      <c r="F4" s="469"/>
      <c r="G4" s="464"/>
      <c r="H4" s="5"/>
      <c r="I4" s="127"/>
    </row>
    <row r="5" spans="1:9" ht="9" customHeight="1">
      <c r="A5" s="127"/>
      <c r="I5" s="127"/>
    </row>
    <row r="6" spans="1:9" ht="24.6">
      <c r="A6" s="127"/>
      <c r="B6" s="470" t="s">
        <v>206</v>
      </c>
      <c r="C6" s="470"/>
      <c r="D6" s="470"/>
      <c r="E6" s="470"/>
      <c r="F6" s="470"/>
      <c r="G6" s="470"/>
      <c r="H6" s="111"/>
      <c r="I6" s="130"/>
    </row>
    <row r="7" spans="1:9" ht="21">
      <c r="A7" s="127"/>
      <c r="B7" s="471" t="s">
        <v>207</v>
      </c>
      <c r="C7" s="471"/>
      <c r="D7" s="471"/>
      <c r="E7" s="471"/>
      <c r="F7" s="471"/>
      <c r="G7" s="471"/>
      <c r="H7" s="112"/>
      <c r="I7" s="130"/>
    </row>
    <row r="8" spans="1:9" ht="10.050000000000001" customHeight="1">
      <c r="A8" s="127"/>
      <c r="B8" s="97"/>
      <c r="C8" s="95"/>
      <c r="D8" s="95"/>
      <c r="E8" s="95"/>
      <c r="F8" s="95"/>
      <c r="G8" s="34"/>
      <c r="H8" s="34"/>
      <c r="I8" s="130"/>
    </row>
    <row r="9" spans="1:9" ht="24" customHeight="1">
      <c r="A9" s="127"/>
      <c r="B9" s="472" t="s">
        <v>214</v>
      </c>
      <c r="C9" s="472"/>
      <c r="D9" s="473"/>
      <c r="E9" s="487"/>
      <c r="F9" s="487"/>
      <c r="G9" s="474"/>
      <c r="H9" s="135"/>
      <c r="I9" s="130"/>
    </row>
    <row r="10" spans="1:9" ht="10.050000000000001" customHeight="1">
      <c r="A10" s="127"/>
      <c r="B10" s="96"/>
      <c r="C10" s="96"/>
      <c r="D10" s="100"/>
      <c r="E10" s="100"/>
      <c r="F10" s="100"/>
      <c r="G10" s="100"/>
      <c r="H10" s="100"/>
      <c r="I10" s="130"/>
    </row>
    <row r="11" spans="1:9" ht="24" customHeight="1">
      <c r="A11" s="127"/>
      <c r="B11" s="108" t="s">
        <v>208</v>
      </c>
      <c r="C11" s="108"/>
      <c r="D11" s="109"/>
      <c r="E11" s="473"/>
      <c r="F11" s="487"/>
      <c r="G11" s="474"/>
      <c r="H11" s="135"/>
      <c r="I11" s="130"/>
    </row>
    <row r="12" spans="1:9" ht="10.95" customHeight="1">
      <c r="A12" s="127"/>
      <c r="B12" s="102"/>
      <c r="C12" s="102"/>
      <c r="D12" s="101"/>
      <c r="E12" s="95"/>
      <c r="F12" s="95"/>
      <c r="G12" s="95"/>
      <c r="H12" s="95"/>
      <c r="I12" s="130"/>
    </row>
    <row r="13" spans="1:9" ht="48" customHeight="1">
      <c r="A13" s="127"/>
      <c r="B13" s="113" t="s">
        <v>217</v>
      </c>
      <c r="C13" s="480"/>
      <c r="D13" s="481"/>
      <c r="E13" s="114" t="s">
        <v>218</v>
      </c>
      <c r="F13" s="482"/>
      <c r="G13" s="483"/>
      <c r="H13" s="136"/>
      <c r="I13" s="130"/>
    </row>
    <row r="14" spans="1:9" ht="10.95" customHeight="1">
      <c r="A14" s="127"/>
      <c r="B14" s="96"/>
      <c r="C14" s="96"/>
      <c r="D14" s="95"/>
      <c r="E14" s="96"/>
      <c r="F14" s="95"/>
      <c r="G14" s="34"/>
      <c r="H14" s="34"/>
      <c r="I14" s="130"/>
    </row>
    <row r="15" spans="1:9" s="105" customFormat="1" ht="19.95" customHeight="1">
      <c r="A15" s="128"/>
      <c r="B15" s="103" t="s">
        <v>220</v>
      </c>
      <c r="C15" s="103"/>
      <c r="D15" s="103"/>
      <c r="E15" s="103"/>
      <c r="F15" s="103"/>
      <c r="G15" s="104"/>
      <c r="H15" s="104"/>
      <c r="I15" s="131"/>
    </row>
    <row r="16" spans="1:9" s="105" customFormat="1" ht="19.95" customHeight="1">
      <c r="A16" s="128"/>
      <c r="B16" s="106" t="s">
        <v>212</v>
      </c>
      <c r="C16" s="103"/>
      <c r="D16" s="103"/>
      <c r="E16" s="103"/>
      <c r="F16" s="103"/>
      <c r="G16" s="104"/>
      <c r="H16" s="104"/>
      <c r="I16" s="131"/>
    </row>
    <row r="17" spans="1:9" s="105" customFormat="1" ht="19.95" customHeight="1">
      <c r="A17" s="128"/>
      <c r="B17" s="103" t="s">
        <v>213</v>
      </c>
      <c r="C17" s="103"/>
      <c r="D17" s="103"/>
      <c r="E17" s="103"/>
      <c r="F17" s="103"/>
      <c r="G17" s="104"/>
      <c r="H17" s="104"/>
      <c r="I17" s="131"/>
    </row>
    <row r="18" spans="1:9" ht="18" customHeight="1">
      <c r="A18" s="127"/>
      <c r="B18" s="97"/>
      <c r="C18" s="95"/>
      <c r="D18" s="95"/>
      <c r="E18" s="95"/>
      <c r="F18" s="95"/>
      <c r="G18" s="34"/>
      <c r="H18" s="34"/>
      <c r="I18" s="130"/>
    </row>
    <row r="19" spans="1:9" ht="24" customHeight="1">
      <c r="A19" s="127"/>
      <c r="B19" s="96" t="s">
        <v>219</v>
      </c>
      <c r="C19" s="473"/>
      <c r="D19" s="487"/>
      <c r="E19" s="487"/>
      <c r="F19" s="487"/>
      <c r="G19" s="474"/>
      <c r="H19" s="135"/>
      <c r="I19" s="130"/>
    </row>
    <row r="20" spans="1:9" ht="24" customHeight="1">
      <c r="A20" s="127"/>
      <c r="B20" s="98"/>
      <c r="C20" s="473"/>
      <c r="D20" s="487"/>
      <c r="E20" s="487"/>
      <c r="F20" s="487"/>
      <c r="G20" s="474"/>
      <c r="H20" s="135"/>
      <c r="I20" s="130"/>
    </row>
    <row r="21" spans="1:9" ht="10.95" customHeight="1">
      <c r="A21" s="127"/>
      <c r="B21" s="98"/>
      <c r="C21" s="100"/>
      <c r="D21" s="100"/>
      <c r="E21" s="100"/>
      <c r="F21" s="100"/>
      <c r="G21" s="100"/>
      <c r="H21" s="100"/>
      <c r="I21" s="130"/>
    </row>
    <row r="22" spans="1:9" ht="24" customHeight="1">
      <c r="A22" s="127"/>
      <c r="B22" s="107" t="s">
        <v>221</v>
      </c>
      <c r="C22" s="473"/>
      <c r="D22" s="474"/>
      <c r="E22" s="36"/>
      <c r="F22" s="107" t="s">
        <v>222</v>
      </c>
      <c r="G22" s="133"/>
      <c r="H22" s="137"/>
      <c r="I22" s="127"/>
    </row>
    <row r="23" spans="1:9" ht="18" customHeight="1">
      <c r="A23" s="127"/>
      <c r="B23" s="98"/>
      <c r="C23" s="100"/>
      <c r="D23" s="100"/>
      <c r="E23" s="98"/>
      <c r="F23" s="95"/>
      <c r="G23" s="34"/>
      <c r="H23" s="34"/>
      <c r="I23" s="127"/>
    </row>
    <row r="24" spans="1:9" ht="46.95" customHeight="1">
      <c r="A24" s="127"/>
      <c r="B24" s="488" t="s">
        <v>303</v>
      </c>
      <c r="C24" s="488"/>
      <c r="D24" s="488"/>
      <c r="E24" s="488"/>
      <c r="F24" s="488"/>
      <c r="G24" s="488"/>
      <c r="H24" s="110"/>
      <c r="I24" s="130"/>
    </row>
    <row r="25" spans="1:9" ht="13.05" customHeight="1">
      <c r="A25" s="127"/>
      <c r="B25" s="110"/>
      <c r="C25" s="110"/>
      <c r="D25" s="110"/>
      <c r="E25" s="110"/>
      <c r="F25" s="110"/>
      <c r="G25" s="110"/>
      <c r="H25" s="110"/>
      <c r="I25" s="130"/>
    </row>
    <row r="26" spans="1:9" s="36" customFormat="1" ht="24" customHeight="1">
      <c r="A26" s="129"/>
      <c r="B26" s="107" t="s">
        <v>223</v>
      </c>
      <c r="C26" s="115"/>
      <c r="D26" s="115"/>
      <c r="E26" s="484"/>
      <c r="F26" s="485"/>
      <c r="G26" s="486"/>
      <c r="H26" s="138"/>
      <c r="I26" s="132"/>
    </row>
    <row r="27" spans="1:9" ht="12" customHeight="1" thickBot="1">
      <c r="A27" s="127"/>
      <c r="B27" s="116"/>
      <c r="C27" s="117"/>
      <c r="D27" s="117"/>
      <c r="E27" s="117"/>
      <c r="F27" s="117"/>
      <c r="G27" s="118"/>
      <c r="H27" s="34"/>
      <c r="I27" s="130"/>
    </row>
    <row r="28" spans="1:9" ht="15.6" thickTop="1">
      <c r="A28" s="127"/>
      <c r="B28" s="478" t="s">
        <v>215</v>
      </c>
      <c r="C28" s="478"/>
      <c r="D28" s="478"/>
      <c r="E28" s="478"/>
      <c r="F28" s="478"/>
      <c r="G28" s="478"/>
      <c r="H28" s="478"/>
      <c r="I28" s="130"/>
    </row>
    <row r="29" spans="1:9" ht="7.05" customHeight="1">
      <c r="A29" s="127"/>
      <c r="B29" s="99"/>
      <c r="C29" s="95"/>
      <c r="D29" s="95"/>
      <c r="E29" s="95"/>
      <c r="F29" s="95"/>
      <c r="G29" s="34"/>
      <c r="H29" s="34"/>
      <c r="I29" s="130"/>
    </row>
    <row r="30" spans="1:9" ht="17.399999999999999">
      <c r="A30" s="127"/>
      <c r="B30" s="107" t="s">
        <v>209</v>
      </c>
      <c r="C30" s="479">
        <f>order_number</f>
        <v>0</v>
      </c>
      <c r="D30" s="479"/>
      <c r="E30" s="107" t="s">
        <v>210</v>
      </c>
      <c r="F30" s="115"/>
      <c r="G30" s="134"/>
      <c r="H30" s="139"/>
      <c r="I30" s="130"/>
    </row>
    <row r="31" spans="1:9" ht="4.95" customHeight="1">
      <c r="A31" s="127"/>
      <c r="C31" s="95"/>
      <c r="D31" s="95"/>
      <c r="E31" s="95"/>
      <c r="F31" s="95"/>
      <c r="G31" s="34"/>
      <c r="H31" s="34"/>
      <c r="I31" s="130"/>
    </row>
    <row r="32" spans="1:9" ht="17.399999999999999">
      <c r="A32" s="127"/>
      <c r="B32" s="96" t="s">
        <v>211</v>
      </c>
      <c r="C32" s="95"/>
      <c r="D32" s="95"/>
      <c r="E32" s="95"/>
      <c r="F32" s="95"/>
      <c r="G32" s="34"/>
      <c r="H32" s="34"/>
      <c r="I32" s="130"/>
    </row>
    <row r="33" spans="1:9" ht="60" customHeight="1">
      <c r="A33" s="127"/>
      <c r="B33" s="475"/>
      <c r="C33" s="476"/>
      <c r="D33" s="476"/>
      <c r="E33" s="476"/>
      <c r="F33" s="476"/>
      <c r="G33" s="477"/>
      <c r="H33" s="140"/>
      <c r="I33" s="130"/>
    </row>
    <row r="34" spans="1:9" ht="24" customHeight="1">
      <c r="A34" s="127"/>
      <c r="B34" s="226"/>
      <c r="C34" s="226"/>
      <c r="D34" s="226"/>
      <c r="E34" s="226"/>
      <c r="F34" s="226"/>
      <c r="G34" s="226"/>
      <c r="H34" s="140"/>
      <c r="I34" s="130"/>
    </row>
    <row r="35" spans="1:9" ht="16.05" customHeight="1">
      <c r="A35" s="127"/>
      <c r="B35" s="223" t="s">
        <v>204</v>
      </c>
      <c r="C35" s="224">
        <v>45453</v>
      </c>
      <c r="D35" s="140"/>
      <c r="E35" s="140"/>
      <c r="F35" s="140"/>
      <c r="G35" s="140"/>
      <c r="H35" s="140"/>
      <c r="I35" s="130"/>
    </row>
    <row r="36" spans="1:9" ht="24" customHeight="1">
      <c r="A36" s="127"/>
      <c r="B36" s="127"/>
      <c r="C36" s="127"/>
      <c r="D36" s="127"/>
      <c r="E36" s="127"/>
      <c r="F36" s="127"/>
      <c r="G36" s="127"/>
      <c r="H36" s="127"/>
      <c r="I36" s="127"/>
    </row>
  </sheetData>
  <sheetProtection selectLockedCells="1"/>
  <mergeCells count="18">
    <mergeCell ref="B9:C9"/>
    <mergeCell ref="C22:D22"/>
    <mergeCell ref="B33:G33"/>
    <mergeCell ref="B28:H28"/>
    <mergeCell ref="C30:D30"/>
    <mergeCell ref="C13:D13"/>
    <mergeCell ref="F13:G13"/>
    <mergeCell ref="E26:G26"/>
    <mergeCell ref="E11:G11"/>
    <mergeCell ref="D9:G9"/>
    <mergeCell ref="C19:G19"/>
    <mergeCell ref="C20:G20"/>
    <mergeCell ref="B24:G24"/>
    <mergeCell ref="B2:C4"/>
    <mergeCell ref="G2:G4"/>
    <mergeCell ref="D2:F4"/>
    <mergeCell ref="B6:G6"/>
    <mergeCell ref="B7:G7"/>
  </mergeCells>
  <printOptions horizontalCentered="1"/>
  <pageMargins left="0.25" right="0.25" top="0.75" bottom="0.75" header="0.3" footer="0.3"/>
  <pageSetup orientation="portrait" horizontalDpi="0" verticalDpi="0"/>
  <headerFooter>
    <oddFooter>&amp;L&amp;"Arial,Regular"&amp;K000000&amp;F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2634A-B73C-B743-ACEB-5655BD0BDC37}">
  <sheetPr>
    <tabColor theme="9" tint="0.79998168889431442"/>
  </sheetPr>
  <dimension ref="A1:G35"/>
  <sheetViews>
    <sheetView showGridLines="0" showRowColHeaders="0" zoomScale="133" zoomScaleNormal="133" workbookViewId="0">
      <selection activeCell="E14" sqref="E14:F14"/>
    </sheetView>
  </sheetViews>
  <sheetFormatPr defaultColWidth="10.90625" defaultRowHeight="15"/>
  <cols>
    <col min="1" max="1" width="3.7265625" customWidth="1"/>
    <col min="2" max="2" width="13.26953125" customWidth="1"/>
    <col min="3" max="3" width="23.7265625" customWidth="1"/>
    <col min="5" max="5" width="10.7265625" customWidth="1"/>
    <col min="6" max="6" width="13.7265625" customWidth="1"/>
    <col min="7" max="7" width="3.7265625" customWidth="1"/>
  </cols>
  <sheetData>
    <row r="1" spans="1:7">
      <c r="A1" s="124"/>
      <c r="B1" s="124"/>
      <c r="C1" s="124"/>
      <c r="D1" s="124"/>
      <c r="E1" s="124"/>
      <c r="F1" s="124"/>
      <c r="G1" s="124"/>
    </row>
    <row r="2" spans="1:7" ht="43.95" customHeight="1">
      <c r="A2" s="120"/>
      <c r="B2" s="489" t="s">
        <v>251</v>
      </c>
      <c r="C2" s="489"/>
      <c r="D2" s="489"/>
      <c r="E2" s="489"/>
      <c r="F2" t="e" vm="2">
        <v>#VALUE!</v>
      </c>
      <c r="G2" s="124"/>
    </row>
    <row r="3" spans="1:7" ht="7.95" customHeight="1">
      <c r="A3" s="124"/>
      <c r="G3" s="124"/>
    </row>
    <row r="4" spans="1:7" ht="15.6">
      <c r="A4" s="124"/>
      <c r="B4" s="35" t="s">
        <v>110</v>
      </c>
      <c r="C4" t="str">
        <f>owner_name_first&amp;" "&amp;owner_name_last</f>
        <v xml:space="preserve"> </v>
      </c>
      <c r="G4" s="124"/>
    </row>
    <row r="5" spans="1:7" ht="7.05" customHeight="1">
      <c r="A5" s="124"/>
      <c r="G5" s="124"/>
    </row>
    <row r="6" spans="1:7" ht="15.6">
      <c r="A6" s="124"/>
      <c r="B6" s="35" t="s">
        <v>278</v>
      </c>
      <c r="E6" s="192" t="str">
        <f>IF(HLOOKUP('1 Input_Form'!N15,'1 Input_Form'!B15:O20,(MATCH("display*",INDEX('1 Input_Form'!B15:O20,0,1),0)),0)&lt;&gt;0,"YES","NO")</f>
        <v>NO</v>
      </c>
      <c r="G6" s="124"/>
    </row>
    <row r="7" spans="1:7" ht="15.6">
      <c r="A7" s="124"/>
      <c r="B7" s="495" t="s">
        <v>302</v>
      </c>
      <c r="C7" s="495"/>
      <c r="D7" s="495"/>
      <c r="E7" s="495"/>
      <c r="F7" s="495"/>
      <c r="G7" s="124"/>
    </row>
    <row r="8" spans="1:7" ht="6" customHeight="1">
      <c r="A8" s="124"/>
      <c r="G8" s="124"/>
    </row>
    <row r="9" spans="1:7" ht="21">
      <c r="A9" s="124"/>
      <c r="B9" s="494" t="s">
        <v>300</v>
      </c>
      <c r="C9" s="494"/>
      <c r="D9" s="494"/>
      <c r="E9" s="494"/>
      <c r="F9" s="494"/>
      <c r="G9" s="124"/>
    </row>
    <row r="10" spans="1:7" ht="6" customHeight="1">
      <c r="A10" s="124"/>
      <c r="G10" s="124"/>
    </row>
    <row r="11" spans="1:7" ht="25.95" customHeight="1">
      <c r="A11" s="124"/>
      <c r="B11" s="493"/>
      <c r="C11" s="493"/>
      <c r="D11" s="493"/>
      <c r="E11" s="493"/>
      <c r="F11" s="493"/>
      <c r="G11" s="124"/>
    </row>
    <row r="12" spans="1:7" ht="9" customHeight="1">
      <c r="A12" s="124"/>
      <c r="G12" s="124"/>
    </row>
    <row r="13" spans="1:7" ht="15.6">
      <c r="A13" s="124"/>
      <c r="B13" s="35" t="s">
        <v>299</v>
      </c>
      <c r="D13" s="35" t="s">
        <v>301</v>
      </c>
      <c r="E13" s="35"/>
      <c r="G13" s="124"/>
    </row>
    <row r="14" spans="1:7" ht="40.049999999999997" customHeight="1">
      <c r="A14" s="124"/>
      <c r="B14" s="221" t="s">
        <v>295</v>
      </c>
      <c r="C14" s="143" t="str">
        <f>IF(billing_address_check,billing_address_1,"no")</f>
        <v>no</v>
      </c>
      <c r="D14" s="222" t="s">
        <v>295</v>
      </c>
      <c r="E14" s="452"/>
      <c r="F14" s="451"/>
      <c r="G14" s="124"/>
    </row>
    <row r="15" spans="1:7" ht="40.049999999999997" customHeight="1">
      <c r="A15" s="124"/>
      <c r="B15" s="221" t="s">
        <v>296</v>
      </c>
      <c r="C15" s="143" t="str">
        <f>IF(billing_address_check,billing_address_2,"no")</f>
        <v>no</v>
      </c>
      <c r="D15" s="222" t="s">
        <v>296</v>
      </c>
      <c r="E15" s="452"/>
      <c r="F15" s="451"/>
      <c r="G15" s="124"/>
    </row>
    <row r="16" spans="1:7">
      <c r="A16" s="124"/>
      <c r="B16" s="146" t="s">
        <v>297</v>
      </c>
      <c r="C16" s="220" t="str">
        <f>IF(billing_address_check,billing_city,"no")</f>
        <v>no</v>
      </c>
      <c r="D16" s="146" t="s">
        <v>297</v>
      </c>
      <c r="E16" s="459"/>
      <c r="F16" s="461"/>
      <c r="G16" s="124"/>
    </row>
    <row r="17" spans="1:7">
      <c r="A17" s="124"/>
      <c r="B17" s="146" t="s">
        <v>162</v>
      </c>
      <c r="C17" s="220" t="str">
        <f>IF(billing_address_check,billing_state,"no")</f>
        <v>no</v>
      </c>
      <c r="D17" s="146" t="s">
        <v>162</v>
      </c>
      <c r="E17" s="459"/>
      <c r="F17" s="461"/>
      <c r="G17" s="124"/>
    </row>
    <row r="18" spans="1:7">
      <c r="A18" s="124"/>
      <c r="B18" s="146" t="s">
        <v>298</v>
      </c>
      <c r="C18" s="220" t="str">
        <f>IF(billing_address_check,billing_zip,"no")</f>
        <v>no</v>
      </c>
      <c r="D18" s="146" t="s">
        <v>298</v>
      </c>
      <c r="E18" s="459"/>
      <c r="F18" s="461"/>
      <c r="G18" s="124"/>
    </row>
    <row r="19" spans="1:7" ht="7.95" customHeight="1" thickBot="1">
      <c r="A19" s="124"/>
      <c r="G19" s="124"/>
    </row>
    <row r="20" spans="1:7" ht="16.2" thickTop="1" thickBot="1">
      <c r="A20" s="124"/>
      <c r="B20" s="490" t="s">
        <v>103</v>
      </c>
      <c r="C20" s="491"/>
      <c r="D20" s="491"/>
      <c r="E20" s="491"/>
      <c r="F20" s="492"/>
      <c r="G20" s="124"/>
    </row>
    <row r="21" spans="1:7" ht="16.2" thickTop="1">
      <c r="A21" s="124"/>
      <c r="B21" s="496" t="s">
        <v>305</v>
      </c>
      <c r="C21" s="496"/>
      <c r="D21" s="496"/>
      <c r="E21" s="496"/>
      <c r="F21" s="496"/>
      <c r="G21" s="124"/>
    </row>
    <row r="22" spans="1:7" ht="9" customHeight="1">
      <c r="A22" s="124"/>
      <c r="G22" s="124"/>
    </row>
    <row r="23" spans="1:7">
      <c r="A23" s="124"/>
      <c r="B23" s="498" t="s">
        <v>307</v>
      </c>
      <c r="C23" s="498"/>
      <c r="D23" s="145"/>
      <c r="G23" s="124"/>
    </row>
    <row r="24" spans="1:7" ht="6" customHeight="1">
      <c r="A24" s="124"/>
      <c r="G24" s="124"/>
    </row>
    <row r="25" spans="1:7" ht="15.6">
      <c r="A25" s="124"/>
      <c r="B25" s="332" t="s">
        <v>306</v>
      </c>
      <c r="C25" s="332"/>
      <c r="D25" s="332"/>
      <c r="E25" s="332"/>
      <c r="F25" s="332"/>
      <c r="G25" s="124"/>
    </row>
    <row r="26" spans="1:7" ht="60" customHeight="1">
      <c r="A26" s="266"/>
      <c r="B26" s="497"/>
      <c r="C26" s="497"/>
      <c r="D26" s="497"/>
      <c r="E26" s="497"/>
      <c r="F26" s="497"/>
      <c r="G26" s="124"/>
    </row>
    <row r="27" spans="1:7" ht="10.050000000000001" customHeight="1">
      <c r="A27" s="266"/>
      <c r="B27" s="146"/>
      <c r="C27" s="146"/>
      <c r="D27" s="146"/>
      <c r="E27" s="146"/>
      <c r="F27" s="146"/>
      <c r="G27" s="124"/>
    </row>
    <row r="28" spans="1:7" ht="60" customHeight="1">
      <c r="A28" s="266"/>
      <c r="B28" s="497"/>
      <c r="C28" s="497"/>
      <c r="D28" s="497"/>
      <c r="E28" s="497"/>
      <c r="F28" s="497"/>
      <c r="G28" s="124"/>
    </row>
    <row r="29" spans="1:7" ht="10.050000000000001" customHeight="1">
      <c r="A29" s="266"/>
      <c r="B29" s="146"/>
      <c r="C29" s="146"/>
      <c r="D29" s="146"/>
      <c r="E29" s="146"/>
      <c r="F29" s="146"/>
      <c r="G29" s="124"/>
    </row>
    <row r="30" spans="1:7" ht="60" customHeight="1">
      <c r="A30" s="266"/>
      <c r="B30" s="497"/>
      <c r="C30" s="497"/>
      <c r="D30" s="497"/>
      <c r="E30" s="497"/>
      <c r="F30" s="497"/>
      <c r="G30" s="124"/>
    </row>
    <row r="31" spans="1:7" ht="10.050000000000001" customHeight="1">
      <c r="A31" s="266"/>
      <c r="B31" s="146"/>
      <c r="C31" s="146"/>
      <c r="D31" s="146"/>
      <c r="E31" s="146"/>
      <c r="F31" s="146"/>
      <c r="G31" s="124"/>
    </row>
    <row r="32" spans="1:7" ht="60" customHeight="1">
      <c r="A32" s="266"/>
      <c r="B32" s="497"/>
      <c r="C32" s="497"/>
      <c r="D32" s="497"/>
      <c r="E32" s="497"/>
      <c r="F32" s="497"/>
      <c r="G32" s="124"/>
    </row>
    <row r="33" spans="1:7" ht="10.050000000000001" customHeight="1">
      <c r="A33" s="124"/>
      <c r="G33" s="124"/>
    </row>
    <row r="34" spans="1:7">
      <c r="A34" s="124"/>
      <c r="B34" s="223" t="s">
        <v>204</v>
      </c>
      <c r="C34" s="224">
        <v>45463</v>
      </c>
      <c r="G34" s="124"/>
    </row>
    <row r="35" spans="1:7">
      <c r="A35" s="124"/>
      <c r="B35" s="124"/>
      <c r="C35" s="124"/>
      <c r="D35" s="124"/>
      <c r="E35" s="124"/>
      <c r="F35" s="124"/>
      <c r="G35" s="124"/>
    </row>
  </sheetData>
  <sheetProtection selectLockedCells="1"/>
  <mergeCells count="17">
    <mergeCell ref="B21:F21"/>
    <mergeCell ref="B32:F32"/>
    <mergeCell ref="B25:F25"/>
    <mergeCell ref="B23:C23"/>
    <mergeCell ref="E17:F17"/>
    <mergeCell ref="E18:F18"/>
    <mergeCell ref="B26:F26"/>
    <mergeCell ref="B30:F30"/>
    <mergeCell ref="B28:F28"/>
    <mergeCell ref="B2:E2"/>
    <mergeCell ref="B20:F20"/>
    <mergeCell ref="B11:F11"/>
    <mergeCell ref="B9:F9"/>
    <mergeCell ref="E14:F14"/>
    <mergeCell ref="E15:F15"/>
    <mergeCell ref="E16:F16"/>
    <mergeCell ref="B7:F7"/>
  </mergeCells>
  <conditionalFormatting sqref="C14:C18">
    <cfRule type="expression" dxfId="3" priority="2">
      <formula>$C$14="no"</formula>
    </cfRule>
  </conditionalFormatting>
  <conditionalFormatting sqref="E6">
    <cfRule type="containsText" dxfId="2" priority="3" stopIfTrue="1" operator="containsText" text="No">
      <formula>NOT(ISERROR(SEARCH("No",E6)))</formula>
    </cfRule>
  </conditionalFormatting>
  <conditionalFormatting sqref="E14:E18">
    <cfRule type="expression" dxfId="1" priority="1">
      <formula>billing_address_check</formula>
    </cfRule>
  </conditionalFormatting>
  <dataValidations count="1">
    <dataValidation errorStyle="warning" allowBlank="1" showInputMessage="1" showErrorMessage="1" errorTitle="No Display Case" error="Return to Input Form and change display case quantity" sqref="E6" xr:uid="{6A870BCC-FF70-504F-B1BB-44BAFB6CECE2}"/>
  </dataValidations>
  <pageMargins left="0.7" right="0.7" top="0.75" bottom="0.75" header="0.3" footer="0.3"/>
  <pageSetup orientation="portrait" horizontalDpi="0" verticalDpi="0"/>
  <headerFooter>
    <oddFooter>&amp;L&amp;"Arial,Regular"&amp;K000000&amp;F  &amp;A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8" r:id="rId3" name="Check Box 2">
              <controlPr defaultSize="0" autoFill="0" autoLine="0" autoPict="0">
                <anchor moveWithCells="1">
                  <from>
                    <xdr:col>1</xdr:col>
                    <xdr:colOff>53340</xdr:colOff>
                    <xdr:row>10</xdr:row>
                    <xdr:rowOff>0</xdr:rowOff>
                  </from>
                  <to>
                    <xdr:col>5</xdr:col>
                    <xdr:colOff>342900</xdr:colOff>
                    <xdr:row>10</xdr:row>
                    <xdr:rowOff>281940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2D195-BA43-C645-8FCE-8E957E089982}">
  <sheetPr>
    <tabColor theme="5"/>
  </sheetPr>
  <dimension ref="A1:J37"/>
  <sheetViews>
    <sheetView showGridLines="0" showRowColHeaders="0" zoomScale="135" zoomScaleNormal="135" workbookViewId="0">
      <selection activeCell="G4" sqref="G4"/>
    </sheetView>
  </sheetViews>
  <sheetFormatPr defaultColWidth="10.90625" defaultRowHeight="15"/>
  <cols>
    <col min="1" max="1" width="3.7265625" style="5" customWidth="1"/>
    <col min="2" max="2" width="2.26953125" style="5" customWidth="1"/>
    <col min="3" max="3" width="23.7265625" style="5" customWidth="1"/>
    <col min="4" max="4" width="9.453125" customWidth="1"/>
    <col min="5" max="5" width="3.7265625" customWidth="1"/>
    <col min="6" max="6" width="14.453125" customWidth="1"/>
    <col min="7" max="7" width="12.7265625" customWidth="1"/>
    <col min="8" max="8" width="1.81640625" style="5" customWidth="1"/>
    <col min="9" max="9" width="3.7265625" customWidth="1"/>
  </cols>
  <sheetData>
    <row r="1" spans="1:9" ht="12" customHeight="1">
      <c r="A1" s="119"/>
      <c r="B1" s="124"/>
      <c r="C1" s="124"/>
      <c r="D1" s="124"/>
      <c r="E1" s="124"/>
      <c r="F1" s="124"/>
      <c r="G1" s="124"/>
      <c r="H1" s="119"/>
      <c r="I1" s="124"/>
    </row>
    <row r="2" spans="1:9" ht="36.6">
      <c r="A2" s="120"/>
      <c r="B2" s="148"/>
      <c r="C2" s="148" t="s">
        <v>118</v>
      </c>
      <c r="E2" s="148"/>
      <c r="F2" s="148"/>
      <c r="G2" t="e" vm="2">
        <v>#VALUE!</v>
      </c>
      <c r="H2"/>
      <c r="I2" s="124"/>
    </row>
    <row r="3" spans="1:9" ht="10.050000000000001" customHeight="1">
      <c r="A3" s="120"/>
      <c r="B3" s="148"/>
      <c r="C3" s="148"/>
      <c r="E3" s="148"/>
      <c r="F3" s="148"/>
      <c r="H3"/>
      <c r="I3" s="124"/>
    </row>
    <row r="4" spans="1:9" s="36" customFormat="1" ht="31.05" customHeight="1">
      <c r="A4" s="122"/>
      <c r="B4" s="62"/>
      <c r="C4" s="151" t="s">
        <v>228</v>
      </c>
      <c r="D4" s="500">
        <f>'1 Input_Form'!X42</f>
        <v>0</v>
      </c>
      <c r="E4" s="500"/>
      <c r="F4" s="155" t="s">
        <v>234</v>
      </c>
      <c r="G4" s="174"/>
      <c r="H4" s="62"/>
      <c r="I4" s="125"/>
    </row>
    <row r="5" spans="1:9" s="36" customFormat="1" ht="13.95" customHeight="1">
      <c r="A5" s="122"/>
      <c r="B5" s="62"/>
      <c r="C5" s="151"/>
      <c r="D5" s="139"/>
      <c r="E5" s="139"/>
      <c r="F5" s="155"/>
      <c r="G5" s="169"/>
      <c r="H5" s="62"/>
      <c r="I5" s="125"/>
    </row>
    <row r="6" spans="1:9" s="164" customFormat="1" ht="24" customHeight="1">
      <c r="A6" s="162"/>
      <c r="B6" s="67"/>
      <c r="C6" s="154" t="s">
        <v>229</v>
      </c>
      <c r="D6" s="501" t="s">
        <v>230</v>
      </c>
      <c r="E6" s="501"/>
      <c r="F6" s="154" t="s">
        <v>232</v>
      </c>
      <c r="G6" s="153" t="s">
        <v>233</v>
      </c>
      <c r="H6" s="67"/>
      <c r="I6" s="163"/>
    </row>
    <row r="7" spans="1:9" s="36" customFormat="1" ht="24" customHeight="1">
      <c r="A7" s="122"/>
      <c r="B7" s="62"/>
      <c r="C7" s="62"/>
      <c r="D7" s="170" t="s">
        <v>231</v>
      </c>
      <c r="E7" s="170"/>
      <c r="F7" s="62"/>
      <c r="G7" s="62"/>
      <c r="H7" s="62"/>
      <c r="I7" s="125"/>
    </row>
    <row r="8" spans="1:9" s="36" customFormat="1" ht="16.05" customHeight="1" thickBot="1">
      <c r="A8" s="122"/>
      <c r="B8" s="62"/>
      <c r="C8" s="62"/>
      <c r="D8" s="152"/>
      <c r="E8" s="150"/>
      <c r="F8" s="62"/>
      <c r="G8" s="62"/>
      <c r="H8" s="62"/>
      <c r="I8" s="125"/>
    </row>
    <row r="9" spans="1:9" ht="18" customHeight="1" thickTop="1">
      <c r="A9" s="119"/>
      <c r="C9" s="171" t="s">
        <v>235</v>
      </c>
      <c r="D9" s="172">
        <f>gun_model</f>
        <v>0</v>
      </c>
      <c r="E9" s="172"/>
      <c r="F9" s="172"/>
      <c r="G9" s="172"/>
      <c r="H9" s="172"/>
      <c r="I9" s="124"/>
    </row>
    <row r="10" spans="1:9" ht="18" customHeight="1">
      <c r="A10" s="119"/>
      <c r="C10" s="5" t="s">
        <v>109</v>
      </c>
      <c r="D10" s="35">
        <f>sight_model</f>
        <v>0</v>
      </c>
      <c r="E10" s="35"/>
      <c r="F10" s="35"/>
      <c r="G10" s="35"/>
      <c r="H10" s="35"/>
      <c r="I10" s="124"/>
    </row>
    <row r="11" spans="1:9" ht="10.95" customHeight="1">
      <c r="A11" s="119"/>
      <c r="D11" s="35"/>
      <c r="E11" s="35"/>
      <c r="F11" s="35"/>
      <c r="G11" s="35"/>
      <c r="H11" s="35"/>
      <c r="I11" s="124"/>
    </row>
    <row r="12" spans="1:9" ht="16.95" customHeight="1">
      <c r="A12" s="119"/>
      <c r="C12" s="160" t="s">
        <v>88</v>
      </c>
      <c r="D12" s="161" t="s">
        <v>120</v>
      </c>
      <c r="E12" s="92"/>
      <c r="F12" s="92"/>
      <c r="G12" s="92"/>
      <c r="H12" s="92"/>
      <c r="I12" s="124"/>
    </row>
    <row r="13" spans="1:9">
      <c r="A13" s="119"/>
      <c r="C13" s="149" t="str">
        <f>IF(acc1_source&lt;&gt;"Kiesler","",(IF(ISBLANK(acc1_name),"",acc1_name)))</f>
        <v>Magazines</v>
      </c>
      <c r="D13" s="156" t="str">
        <f>IF(ISNUMBER(SEARCH("Display",acc1_name)),"",(IF(ISBLANK(acc1_name),"",IF(acc1_qty&gt;0,acc1_qty,""))))</f>
        <v/>
      </c>
      <c r="E13" s="36"/>
      <c r="F13" s="36"/>
      <c r="G13" s="36"/>
      <c r="H13" s="36"/>
      <c r="I13" s="124"/>
    </row>
    <row r="14" spans="1:9">
      <c r="A14" s="119"/>
      <c r="C14" s="149" t="str">
        <f>IF(acc2_source&lt;&gt;"Kiesler","",(IF(ISBLANK(acc2_name),"",acc2_name)))</f>
        <v/>
      </c>
      <c r="D14" s="156" t="str">
        <f>IF(ISNUMBER(SEARCH("Display",acc2_name)),"",(IF(ISBLANK(acc2_name),"",IF(acc2_qty&gt;0,acc2_qty,""))))</f>
        <v/>
      </c>
      <c r="E14" s="36"/>
      <c r="F14" s="36"/>
      <c r="G14" s="36"/>
      <c r="H14" s="36"/>
      <c r="I14" s="124"/>
    </row>
    <row r="15" spans="1:9" ht="16.05" customHeight="1">
      <c r="A15" s="119"/>
      <c r="C15" s="149" t="str">
        <f>IF(acc3_source&lt;&gt;"Kiesler","",(IF(ISBLANK(acc3_name),"",acc3_name)))</f>
        <v/>
      </c>
      <c r="D15" s="156" t="str">
        <f>IF(ISNUMBER(SEARCH("Display",acc3_name)),"",(IF(ISBLANK(acc3_name),"",IF(acc4_qty&gt;0,acc3_qty,""))))</f>
        <v/>
      </c>
      <c r="E15" s="36"/>
      <c r="F15" s="36"/>
      <c r="G15" s="36"/>
      <c r="H15" s="36"/>
      <c r="I15" s="124"/>
    </row>
    <row r="16" spans="1:9" ht="16.95" customHeight="1">
      <c r="A16" s="119"/>
      <c r="C16" s="149" t="str">
        <f>IF(acc4_source&lt;&gt;"Kiesler","",(IF(ISBLANK(acc4_name),"",acc4_name)))</f>
        <v/>
      </c>
      <c r="D16" s="156" t="str">
        <f>IF(ISNUMBER(SEARCH("Display",acc4_name)),"",(IF(ISBLANK(acc4_name),"",IF(acc4_qty&gt;0,acc4_qty,""))))</f>
        <v/>
      </c>
      <c r="E16" s="158"/>
      <c r="F16" s="158"/>
      <c r="G16" s="158"/>
      <c r="H16" s="158"/>
      <c r="I16" s="124"/>
    </row>
    <row r="17" spans="1:10">
      <c r="A17" s="119"/>
      <c r="C17" s="149" t="str">
        <f>IF(ISNUMBER(SEARCH("Display",acc5_name)),"",(IF(ISBLANK(acc5_name),"",acc5_name)))</f>
        <v/>
      </c>
      <c r="D17" s="156" t="str">
        <f>IF(ISNUMBER(SEARCH("Display",acc5_name)),"",(IF(ISBLANK(acc5_name),"",IF(acc5_qty&gt;0,acc5_qty,""))))</f>
        <v/>
      </c>
      <c r="E17" s="158"/>
      <c r="F17" s="158"/>
      <c r="G17" s="158"/>
      <c r="H17" s="158"/>
      <c r="I17" s="124"/>
    </row>
    <row r="18" spans="1:10" ht="15" customHeight="1">
      <c r="A18" s="119"/>
      <c r="D18" s="157"/>
      <c r="E18" s="157"/>
      <c r="F18" s="157"/>
      <c r="G18" s="157"/>
      <c r="H18" s="157"/>
      <c r="I18" s="124"/>
    </row>
    <row r="19" spans="1:10" ht="15" customHeight="1">
      <c r="A19" s="119"/>
      <c r="C19" s="35" t="s">
        <v>227</v>
      </c>
      <c r="D19" s="67" t="str">
        <f>IF('1 Input_Form'!Q12&gt;0,"YES","NO")</f>
        <v>NO</v>
      </c>
      <c r="E19" s="157"/>
      <c r="F19" s="157"/>
      <c r="G19" s="157"/>
      <c r="H19" s="157"/>
      <c r="I19" s="124"/>
    </row>
    <row r="20" spans="1:10" ht="15" customHeight="1">
      <c r="A20" s="119"/>
      <c r="D20" s="157"/>
      <c r="E20" s="157"/>
      <c r="F20" s="157"/>
      <c r="G20" s="157"/>
      <c r="H20" s="157"/>
      <c r="I20" s="124"/>
    </row>
    <row r="21" spans="1:10" ht="16.05" customHeight="1">
      <c r="A21" s="119"/>
      <c r="C21" s="35" t="s">
        <v>400</v>
      </c>
      <c r="D21" s="507" t="str">
        <f>owner_name_first&amp;" "&amp;owner_name_last</f>
        <v xml:space="preserve"> </v>
      </c>
      <c r="E21" s="507"/>
      <c r="F21" s="507"/>
      <c r="G21" s="157"/>
      <c r="H21" s="157"/>
      <c r="I21" s="124"/>
    </row>
    <row r="22" spans="1:10" ht="18" customHeight="1">
      <c r="A22" s="119"/>
      <c r="C22" t="s">
        <v>399</v>
      </c>
      <c r="D22" s="509">
        <f>owner_phone</f>
        <v>0</v>
      </c>
      <c r="E22" s="509"/>
      <c r="F22" s="509"/>
      <c r="G22" s="158"/>
      <c r="H22" s="158"/>
      <c r="I22" s="124"/>
    </row>
    <row r="23" spans="1:10" ht="18" customHeight="1">
      <c r="A23" s="119"/>
      <c r="C23" s="159" t="s">
        <v>401</v>
      </c>
      <c r="D23" s="510">
        <f>owner_email</f>
        <v>0</v>
      </c>
      <c r="E23" s="510"/>
      <c r="F23" s="510"/>
      <c r="G23" s="158"/>
      <c r="H23" s="158"/>
      <c r="I23" s="124"/>
    </row>
    <row r="24" spans="1:10" ht="10.95" customHeight="1">
      <c r="A24" s="119"/>
      <c r="D24" s="158"/>
      <c r="E24" s="158"/>
      <c r="F24" s="158"/>
      <c r="G24" s="158"/>
      <c r="H24" s="158"/>
      <c r="I24" s="124"/>
    </row>
    <row r="25" spans="1:10" ht="17.399999999999999">
      <c r="A25" s="119"/>
      <c r="C25" s="508" t="s">
        <v>178</v>
      </c>
      <c r="D25" s="508"/>
      <c r="E25" s="508"/>
      <c r="F25" s="508"/>
      <c r="G25" s="508"/>
      <c r="H25" s="508"/>
      <c r="I25" s="124"/>
      <c r="J25" s="36" t="str">
        <f>IF(ISNUMBER(SEARCH("Display",acc5_name)),"",(IF(ISBLANK(acc5_name),"",acc5_name)))</f>
        <v/>
      </c>
    </row>
    <row r="26" spans="1:10" ht="15.6">
      <c r="A26" s="119"/>
      <c r="C26" s="165" t="s">
        <v>127</v>
      </c>
      <c r="D26" s="505" t="str">
        <f>ffl_name</f>
        <v/>
      </c>
      <c r="E26" s="505"/>
      <c r="F26" s="505"/>
      <c r="G26" s="159"/>
      <c r="H26" s="159"/>
      <c r="I26" s="124"/>
    </row>
    <row r="27" spans="1:10" ht="15.6">
      <c r="A27" s="119"/>
      <c r="C27" s="165" t="s">
        <v>126</v>
      </c>
      <c r="D27" s="506" t="str">
        <f>ffl_address_1</f>
        <v/>
      </c>
      <c r="E27" s="506"/>
      <c r="F27" s="506"/>
      <c r="H27"/>
      <c r="I27" s="124"/>
    </row>
    <row r="28" spans="1:10" ht="15.6">
      <c r="A28" s="119"/>
      <c r="C28" s="167"/>
      <c r="D28" s="506" t="str">
        <f>ffl_address_2</f>
        <v xml:space="preserve"> </v>
      </c>
      <c r="E28" s="506"/>
      <c r="F28" s="506"/>
      <c r="G28" s="37"/>
      <c r="H28" s="37"/>
      <c r="I28" s="124"/>
    </row>
    <row r="29" spans="1:10" ht="15.6">
      <c r="A29" s="119"/>
      <c r="C29" s="165" t="s">
        <v>124</v>
      </c>
      <c r="D29" s="506" t="str">
        <f>ffl_city</f>
        <v/>
      </c>
      <c r="E29" s="506"/>
      <c r="F29" s="506"/>
      <c r="G29" s="37"/>
      <c r="H29" s="37"/>
      <c r="I29" s="124"/>
    </row>
    <row r="30" spans="1:10" ht="15.6">
      <c r="A30" s="119"/>
      <c r="C30" s="165" t="s">
        <v>115</v>
      </c>
      <c r="D30" s="173" t="str">
        <f>ffl_state</f>
        <v/>
      </c>
      <c r="E30" s="165" t="s">
        <v>116</v>
      </c>
      <c r="F30" s="173" t="str">
        <f>ffl_zip</f>
        <v/>
      </c>
      <c r="G30" s="67"/>
      <c r="H30" s="67"/>
      <c r="I30" s="124"/>
    </row>
    <row r="31" spans="1:10" ht="15.6">
      <c r="A31" s="119"/>
      <c r="C31" s="165" t="s">
        <v>125</v>
      </c>
      <c r="D31" s="499" t="str">
        <f>ffl_phone</f>
        <v/>
      </c>
      <c r="E31" s="499"/>
      <c r="F31" s="168"/>
      <c r="G31" s="5"/>
      <c r="H31" s="67"/>
      <c r="I31" s="124"/>
    </row>
    <row r="32" spans="1:10">
      <c r="A32" s="119"/>
      <c r="C32" s="166"/>
      <c r="I32" s="124"/>
    </row>
    <row r="33" spans="1:9">
      <c r="A33" s="119"/>
      <c r="C33" s="166" t="s">
        <v>236</v>
      </c>
      <c r="I33" s="124"/>
    </row>
    <row r="34" spans="1:9" ht="126" customHeight="1">
      <c r="A34" s="119"/>
      <c r="C34" s="502"/>
      <c r="D34" s="503"/>
      <c r="E34" s="503"/>
      <c r="F34" s="503"/>
      <c r="G34" s="504"/>
      <c r="I34" s="124"/>
    </row>
    <row r="35" spans="1:9" ht="16.95" customHeight="1">
      <c r="A35" s="119"/>
      <c r="C35" s="58"/>
      <c r="D35" s="58"/>
      <c r="E35" s="58"/>
      <c r="F35" s="58"/>
      <c r="G35" s="58"/>
      <c r="I35" s="124"/>
    </row>
    <row r="36" spans="1:9">
      <c r="A36" s="119"/>
      <c r="C36" s="175" t="s">
        <v>204</v>
      </c>
      <c r="D36" s="93">
        <v>45453</v>
      </c>
      <c r="F36" s="82"/>
      <c r="G36" s="82"/>
      <c r="H36" s="82"/>
      <c r="I36" s="124"/>
    </row>
    <row r="37" spans="1:9">
      <c r="A37" s="119"/>
      <c r="B37" s="124"/>
      <c r="C37" s="124"/>
      <c r="D37" s="124"/>
      <c r="E37" s="124"/>
      <c r="F37" s="124"/>
      <c r="G37" s="124"/>
      <c r="H37" s="119"/>
      <c r="I37" s="124"/>
    </row>
  </sheetData>
  <sheetProtection sheet="1" objects="1" scenarios="1" selectLockedCells="1"/>
  <mergeCells count="12">
    <mergeCell ref="D31:E31"/>
    <mergeCell ref="D4:E4"/>
    <mergeCell ref="D6:E6"/>
    <mergeCell ref="C34:G34"/>
    <mergeCell ref="D26:F26"/>
    <mergeCell ref="D27:F27"/>
    <mergeCell ref="D28:F28"/>
    <mergeCell ref="D29:F29"/>
    <mergeCell ref="D21:F21"/>
    <mergeCell ref="C25:H25"/>
    <mergeCell ref="D22:F22"/>
    <mergeCell ref="D23:F23"/>
  </mergeCells>
  <conditionalFormatting sqref="D19">
    <cfRule type="containsText" dxfId="0" priority="2" operator="containsText" text="NO">
      <formula>NOT(ISERROR(SEARCH("NO",D19)))</formula>
    </cfRule>
  </conditionalFormatting>
  <hyperlinks>
    <hyperlink ref="D7" r:id="rId1" xr:uid="{382A6BAE-E945-4F48-A8AF-526BA4577865}"/>
  </hyperlinks>
  <printOptions horizontalCentered="1"/>
  <pageMargins left="0.5" right="0.5" top="0.5" bottom="0.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10AA-D353-334C-8F7F-CB146448619B}">
  <sheetPr>
    <tabColor rgb="FFFFFF00"/>
  </sheetPr>
  <dimension ref="A1:I31"/>
  <sheetViews>
    <sheetView workbookViewId="0">
      <selection activeCell="A2" sqref="A2"/>
    </sheetView>
  </sheetViews>
  <sheetFormatPr defaultColWidth="10.90625" defaultRowHeight="15"/>
  <cols>
    <col min="1" max="1" width="19.81640625" customWidth="1"/>
    <col min="5" max="5" width="13.54296875" customWidth="1"/>
    <col min="6" max="6" width="8.1796875" customWidth="1"/>
  </cols>
  <sheetData>
    <row r="1" spans="1:7" ht="15.6">
      <c r="A1" s="176">
        <v>45519</v>
      </c>
      <c r="B1" s="177" t="s">
        <v>85</v>
      </c>
      <c r="D1" s="35" t="s">
        <v>142</v>
      </c>
      <c r="E1" s="35" t="s">
        <v>283</v>
      </c>
      <c r="F1" s="35" t="s">
        <v>282</v>
      </c>
      <c r="G1" s="35" t="s">
        <v>284</v>
      </c>
    </row>
    <row r="2" spans="1:7">
      <c r="A2" s="182" t="s">
        <v>33</v>
      </c>
      <c r="B2" s="183">
        <v>60</v>
      </c>
      <c r="C2" s="57"/>
      <c r="D2" s="57">
        <v>1</v>
      </c>
      <c r="E2" s="184" t="s">
        <v>119</v>
      </c>
      <c r="F2" s="183">
        <v>25</v>
      </c>
      <c r="G2" s="185" t="s">
        <v>176</v>
      </c>
    </row>
    <row r="3" spans="1:7">
      <c r="A3" s="182" t="s">
        <v>34</v>
      </c>
      <c r="B3" s="183">
        <v>80</v>
      </c>
      <c r="C3" s="57"/>
      <c r="D3" s="57">
        <v>2</v>
      </c>
      <c r="E3" s="184"/>
      <c r="F3" s="183"/>
      <c r="G3" s="185" t="s">
        <v>176</v>
      </c>
    </row>
    <row r="4" spans="1:7">
      <c r="A4" s="182" t="s">
        <v>84</v>
      </c>
      <c r="B4" s="183">
        <v>45</v>
      </c>
      <c r="C4" s="57"/>
      <c r="D4" s="57">
        <v>3</v>
      </c>
      <c r="E4" s="184"/>
      <c r="F4" s="183"/>
      <c r="G4" s="185"/>
    </row>
    <row r="5" spans="1:7" ht="27.6">
      <c r="A5" s="182" t="s">
        <v>87</v>
      </c>
      <c r="B5" s="186">
        <v>1</v>
      </c>
      <c r="C5" s="57"/>
      <c r="D5" s="57">
        <v>4</v>
      </c>
      <c r="E5" s="187" t="s">
        <v>143</v>
      </c>
      <c r="F5" s="183">
        <v>160</v>
      </c>
      <c r="G5" s="185" t="s">
        <v>177</v>
      </c>
    </row>
    <row r="6" spans="1:7" ht="37.950000000000003" customHeight="1">
      <c r="A6" s="182" t="s">
        <v>86</v>
      </c>
      <c r="B6" s="183">
        <v>35</v>
      </c>
      <c r="C6" s="57"/>
      <c r="D6" s="57">
        <v>5</v>
      </c>
      <c r="E6" s="187" t="s">
        <v>304</v>
      </c>
      <c r="F6" s="183">
        <v>45</v>
      </c>
      <c r="G6" s="185" t="s">
        <v>177</v>
      </c>
    </row>
    <row r="8" spans="1:7" ht="15.6">
      <c r="A8" s="35" t="s">
        <v>164</v>
      </c>
      <c r="E8" t="s">
        <v>240</v>
      </c>
    </row>
    <row r="9" spans="1:7">
      <c r="A9" s="178" t="s">
        <v>166</v>
      </c>
      <c r="B9" s="179">
        <v>8.2500000000000004E-2</v>
      </c>
      <c r="E9" t="s">
        <v>242</v>
      </c>
    </row>
    <row r="10" spans="1:7">
      <c r="A10" s="180" t="s">
        <v>165</v>
      </c>
      <c r="B10" s="29">
        <f>B9</f>
        <v>8.2500000000000004E-2</v>
      </c>
      <c r="E10" t="s">
        <v>241</v>
      </c>
    </row>
    <row r="11" spans="1:7">
      <c r="A11" s="180" t="s">
        <v>121</v>
      </c>
      <c r="B11" s="29">
        <f>B10</f>
        <v>8.2500000000000004E-2</v>
      </c>
    </row>
    <row r="12" spans="1:7">
      <c r="A12" s="180"/>
      <c r="B12" s="181"/>
    </row>
    <row r="13" spans="1:7">
      <c r="A13" s="180"/>
      <c r="B13" s="181"/>
    </row>
    <row r="14" spans="1:7">
      <c r="A14" s="180"/>
      <c r="B14" s="181"/>
    </row>
    <row r="15" spans="1:7">
      <c r="A15" s="180"/>
      <c r="B15" s="181"/>
    </row>
    <row r="16" spans="1:7">
      <c r="A16" s="180"/>
      <c r="B16" s="181"/>
    </row>
    <row r="17" spans="1:9">
      <c r="A17" s="180"/>
      <c r="B17" s="181"/>
    </row>
    <row r="18" spans="1:9">
      <c r="A18" s="180"/>
      <c r="B18" s="181"/>
    </row>
    <row r="19" spans="1:9">
      <c r="A19" s="180"/>
      <c r="B19" s="181"/>
    </row>
    <row r="20" spans="1:9">
      <c r="A20" s="180"/>
      <c r="B20" s="181"/>
    </row>
    <row r="21" spans="1:9">
      <c r="A21" s="180"/>
      <c r="B21" s="181"/>
    </row>
    <row r="22" spans="1:9">
      <c r="A22" s="180"/>
      <c r="B22" s="181"/>
    </row>
    <row r="23" spans="1:9">
      <c r="A23" s="30" t="s">
        <v>131</v>
      </c>
      <c r="B23" s="31">
        <v>0</v>
      </c>
    </row>
    <row r="26" spans="1:9" ht="15.6">
      <c r="A26" s="35"/>
    </row>
    <row r="27" spans="1:9" ht="15.6" thickBot="1"/>
    <row r="28" spans="1:9" ht="16.2" thickTop="1" thickBot="1">
      <c r="A28" s="41">
        <v>1</v>
      </c>
      <c r="B28" s="42" t="s">
        <v>180</v>
      </c>
      <c r="C28" s="43" t="s">
        <v>179</v>
      </c>
    </row>
    <row r="29" spans="1:9" ht="15.6" thickTop="1">
      <c r="A29">
        <v>1</v>
      </c>
      <c r="B29" s="248" t="s">
        <v>131</v>
      </c>
      <c r="C29" s="248"/>
      <c r="D29" s="248"/>
      <c r="E29" s="248"/>
      <c r="F29" s="248"/>
      <c r="G29" s="248"/>
      <c r="H29" s="248"/>
      <c r="I29" s="248"/>
    </row>
    <row r="30" spans="1:9">
      <c r="A30">
        <v>2</v>
      </c>
      <c r="B30" s="248" t="s">
        <v>130</v>
      </c>
      <c r="C30" s="248" t="s">
        <v>133</v>
      </c>
      <c r="D30" s="248" t="s">
        <v>136</v>
      </c>
      <c r="E30" s="274" t="s">
        <v>139</v>
      </c>
      <c r="F30" s="248" t="s">
        <v>122</v>
      </c>
      <c r="G30" s="248" t="s">
        <v>137</v>
      </c>
      <c r="H30" s="248">
        <v>80908</v>
      </c>
      <c r="I30" s="248" t="s">
        <v>138</v>
      </c>
    </row>
    <row r="31" spans="1:9">
      <c r="A31">
        <v>3</v>
      </c>
      <c r="B31" s="248" t="s">
        <v>129</v>
      </c>
      <c r="C31" s="248" t="s">
        <v>132</v>
      </c>
      <c r="D31" s="248" t="s">
        <v>134</v>
      </c>
      <c r="E31" s="274"/>
      <c r="F31" s="248" t="s">
        <v>135</v>
      </c>
      <c r="G31" s="248" t="s">
        <v>121</v>
      </c>
      <c r="H31" s="248">
        <v>75074</v>
      </c>
      <c r="I31" s="248" t="s">
        <v>128</v>
      </c>
    </row>
  </sheetData>
  <sortState xmlns:xlrd2="http://schemas.microsoft.com/office/spreadsheetml/2017/richdata2" ref="F11:F13">
    <sortCondition ref="F11:F13"/>
  </sortState>
  <printOptions gridLines="1"/>
  <pageMargins left="0.7" right="0.7" top="0.75" bottom="0.75" header="0.3" footer="0.3"/>
  <pageSetup orientation="landscape" horizontalDpi="0" verticalDpi="0"/>
  <headerFooter>
    <oddFooter>&amp;L&amp;"Arial,Regular"&amp;K000000&amp;F  &amp;A&amp;C&amp;"Arial,Regular"&amp;K000000Page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296F0-0C46-164B-8245-3271ABFA29AD}">
  <sheetPr>
    <tabColor rgb="FFFFFF00"/>
  </sheetPr>
  <dimension ref="A1:U79"/>
  <sheetViews>
    <sheetView topLeftCell="D1" workbookViewId="0">
      <selection activeCell="M51" sqref="M51"/>
    </sheetView>
  </sheetViews>
  <sheetFormatPr defaultColWidth="10.90625" defaultRowHeight="15"/>
  <cols>
    <col min="1" max="1" width="0" hidden="1" customWidth="1"/>
    <col min="2" max="3" width="5.7265625" hidden="1" customWidth="1"/>
    <col min="4" max="4" width="20.81640625" customWidth="1"/>
    <col min="5" max="7" width="10.7265625" style="5"/>
    <col min="8" max="8" width="2.81640625" customWidth="1"/>
    <col min="9" max="9" width="10.7265625" style="5"/>
    <col min="10" max="10" width="9.26953125" style="16" customWidth="1"/>
    <col min="11" max="11" width="21" customWidth="1"/>
    <col min="12" max="12" width="22.26953125" customWidth="1"/>
  </cols>
  <sheetData>
    <row r="1" spans="1:17" ht="15.6">
      <c r="B1" s="2"/>
      <c r="C1" s="2"/>
      <c r="D1" s="20" t="s">
        <v>226</v>
      </c>
      <c r="E1" s="147">
        <v>45440</v>
      </c>
      <c r="F1" s="2"/>
      <c r="G1" s="2"/>
      <c r="I1" s="2"/>
      <c r="K1" s="51" t="s">
        <v>181</v>
      </c>
      <c r="L1" s="44"/>
      <c r="M1" s="44"/>
      <c r="N1" s="45"/>
    </row>
    <row r="2" spans="1:17" ht="30">
      <c r="C2" s="2"/>
      <c r="E2" s="2"/>
      <c r="F2" s="2"/>
      <c r="G2" s="2"/>
      <c r="K2" s="46" t="s">
        <v>81</v>
      </c>
      <c r="L2" s="43">
        <f>'1 Input_Form'!N5</f>
        <v>0</v>
      </c>
      <c r="M2" s="43"/>
      <c r="N2" s="47"/>
    </row>
    <row r="3" spans="1:17" ht="15.6">
      <c r="C3" s="2"/>
      <c r="D3" s="2"/>
      <c r="E3" s="514" t="s">
        <v>83</v>
      </c>
      <c r="F3" s="514"/>
      <c r="G3" s="514"/>
      <c r="I3" s="69" t="s">
        <v>39</v>
      </c>
      <c r="K3" s="48" t="s">
        <v>82</v>
      </c>
      <c r="L3" s="49" t="e" cm="1" vm="4">
        <f t="array" ref="L3">_xlfn._xlws.FILTER('Gun Pricing'!$E$5:$G$48,'Gun Pricing'!$D$5:$D$48=L2)</f>
        <v>#VALUE!</v>
      </c>
      <c r="M3" s="49"/>
      <c r="N3" s="50"/>
    </row>
    <row r="4" spans="1:17" ht="28.2">
      <c r="A4" s="3" t="s">
        <v>0</v>
      </c>
      <c r="B4" s="4" t="s">
        <v>1</v>
      </c>
      <c r="C4" s="4" t="s">
        <v>2</v>
      </c>
      <c r="D4" s="194" t="s">
        <v>70</v>
      </c>
      <c r="E4" s="195" t="s">
        <v>35</v>
      </c>
      <c r="F4" s="196" t="s">
        <v>37</v>
      </c>
      <c r="G4" s="196" t="s">
        <v>38</v>
      </c>
      <c r="I4" s="15" t="s">
        <v>40</v>
      </c>
      <c r="J4" s="17"/>
    </row>
    <row r="5" spans="1:17">
      <c r="A5" s="6" t="s">
        <v>6</v>
      </c>
      <c r="B5" s="6">
        <v>17</v>
      </c>
      <c r="C5" s="6" t="s">
        <v>4</v>
      </c>
      <c r="D5" s="21" t="s">
        <v>41</v>
      </c>
      <c r="E5" s="206" t="s">
        <v>36</v>
      </c>
      <c r="F5" s="207" t="s">
        <v>33</v>
      </c>
      <c r="G5" s="207" t="s">
        <v>71</v>
      </c>
      <c r="H5" s="208"/>
      <c r="I5" s="209">
        <v>520</v>
      </c>
      <c r="J5" s="32"/>
    </row>
    <row r="6" spans="1:17">
      <c r="A6" s="6" t="s">
        <v>6</v>
      </c>
      <c r="B6" s="6" t="s">
        <v>7</v>
      </c>
      <c r="C6" s="6" t="s">
        <v>4</v>
      </c>
      <c r="D6" s="21" t="s">
        <v>42</v>
      </c>
      <c r="E6" s="206" t="s">
        <v>76</v>
      </c>
      <c r="F6" s="207" t="s">
        <v>75</v>
      </c>
      <c r="G6" s="207" t="s">
        <v>75</v>
      </c>
      <c r="H6" s="208"/>
      <c r="I6" s="210">
        <v>605</v>
      </c>
      <c r="J6" s="33"/>
    </row>
    <row r="7" spans="1:17">
      <c r="A7" s="6" t="s">
        <v>6</v>
      </c>
      <c r="B7" s="6">
        <v>19</v>
      </c>
      <c r="C7" s="6" t="s">
        <v>4</v>
      </c>
      <c r="D7" s="21" t="s">
        <v>43</v>
      </c>
      <c r="E7" s="206" t="s">
        <v>36</v>
      </c>
      <c r="F7" s="207" t="s">
        <v>33</v>
      </c>
      <c r="G7" s="207" t="s">
        <v>71</v>
      </c>
      <c r="H7" s="208"/>
      <c r="I7" s="210">
        <v>520</v>
      </c>
      <c r="J7" s="33"/>
    </row>
    <row r="8" spans="1:17">
      <c r="A8" s="6" t="s">
        <v>6</v>
      </c>
      <c r="B8" s="6">
        <v>19</v>
      </c>
      <c r="C8" s="7" t="s">
        <v>5</v>
      </c>
      <c r="D8" s="21" t="s">
        <v>44</v>
      </c>
      <c r="E8" s="206" t="s">
        <v>36</v>
      </c>
      <c r="F8" s="207" t="s">
        <v>33</v>
      </c>
      <c r="G8" s="207" t="s">
        <v>71</v>
      </c>
      <c r="H8" s="208"/>
      <c r="I8" s="209">
        <v>605</v>
      </c>
      <c r="J8" s="32"/>
    </row>
    <row r="9" spans="1:17">
      <c r="A9" s="8" t="s">
        <v>6</v>
      </c>
      <c r="B9" s="8" t="s">
        <v>8</v>
      </c>
      <c r="C9" s="9"/>
      <c r="D9" s="21" t="s">
        <v>63</v>
      </c>
      <c r="E9" s="206" t="s">
        <v>77</v>
      </c>
      <c r="F9" s="207" t="s">
        <v>75</v>
      </c>
      <c r="G9" s="207" t="s">
        <v>75</v>
      </c>
      <c r="H9" s="208"/>
      <c r="I9" s="210">
        <v>640</v>
      </c>
    </row>
    <row r="10" spans="1:17">
      <c r="A10" s="6" t="s">
        <v>17</v>
      </c>
      <c r="B10" s="6">
        <v>20</v>
      </c>
      <c r="C10" s="6" t="s">
        <v>18</v>
      </c>
      <c r="D10" s="21" t="s">
        <v>49</v>
      </c>
      <c r="E10" s="206" t="s">
        <v>36</v>
      </c>
      <c r="F10" s="207" t="s">
        <v>33</v>
      </c>
      <c r="G10" s="207" t="s">
        <v>71</v>
      </c>
      <c r="H10" s="208"/>
      <c r="I10" s="209">
        <v>520</v>
      </c>
    </row>
    <row r="11" spans="1:17">
      <c r="A11" s="6" t="s">
        <v>17</v>
      </c>
      <c r="B11" s="6">
        <v>20</v>
      </c>
      <c r="C11" s="6" t="s">
        <v>20</v>
      </c>
      <c r="D11" s="21" t="s">
        <v>105</v>
      </c>
      <c r="E11" s="206" t="s">
        <v>36</v>
      </c>
      <c r="F11" s="207" t="s">
        <v>33</v>
      </c>
      <c r="G11" s="207" t="s">
        <v>71</v>
      </c>
      <c r="H11" s="208"/>
      <c r="I11" s="209">
        <v>605</v>
      </c>
      <c r="J11" s="32"/>
      <c r="K11" s="24"/>
      <c r="M11" s="24"/>
      <c r="N11" s="24"/>
      <c r="O11" s="24"/>
      <c r="P11" s="24"/>
      <c r="Q11" s="24"/>
    </row>
    <row r="12" spans="1:17">
      <c r="A12" s="6" t="s">
        <v>17</v>
      </c>
      <c r="B12" s="6" t="s">
        <v>19</v>
      </c>
      <c r="C12" s="6"/>
      <c r="D12" s="21" t="s">
        <v>50</v>
      </c>
      <c r="E12" s="206" t="s">
        <v>36</v>
      </c>
      <c r="F12" s="207" t="s">
        <v>33</v>
      </c>
      <c r="G12" s="207" t="s">
        <v>71</v>
      </c>
      <c r="H12" s="208"/>
      <c r="I12" s="209">
        <v>520</v>
      </c>
      <c r="K12" s="24"/>
      <c r="M12" s="24"/>
      <c r="N12" s="24"/>
      <c r="O12" s="24"/>
      <c r="P12" s="24"/>
      <c r="Q12" s="24"/>
    </row>
    <row r="13" spans="1:17">
      <c r="A13" s="6" t="s">
        <v>23</v>
      </c>
      <c r="B13" s="6">
        <v>21</v>
      </c>
      <c r="C13" s="6" t="s">
        <v>18</v>
      </c>
      <c r="D13" s="21" t="s">
        <v>257</v>
      </c>
      <c r="E13" s="206" t="s">
        <v>36</v>
      </c>
      <c r="F13" s="207" t="s">
        <v>33</v>
      </c>
      <c r="G13" s="207" t="s">
        <v>71</v>
      </c>
      <c r="H13" s="208"/>
      <c r="I13" s="209">
        <v>520</v>
      </c>
      <c r="K13" s="24"/>
      <c r="M13" s="24"/>
      <c r="N13" s="24"/>
      <c r="O13" s="24"/>
      <c r="P13" s="24"/>
      <c r="Q13" s="24"/>
    </row>
    <row r="14" spans="1:17">
      <c r="A14" s="6" t="s">
        <v>23</v>
      </c>
      <c r="B14" s="6">
        <v>21</v>
      </c>
      <c r="C14" s="6" t="s">
        <v>20</v>
      </c>
      <c r="D14" s="21" t="s">
        <v>258</v>
      </c>
      <c r="E14" s="206" t="s">
        <v>36</v>
      </c>
      <c r="F14" s="207" t="s">
        <v>33</v>
      </c>
      <c r="G14" s="207" t="s">
        <v>71</v>
      </c>
      <c r="H14" s="208"/>
      <c r="I14" s="209">
        <v>605</v>
      </c>
      <c r="J14" s="32"/>
      <c r="K14" s="24"/>
      <c r="M14" s="24"/>
      <c r="N14" s="24"/>
      <c r="O14" s="24"/>
      <c r="P14" s="24"/>
      <c r="Q14" s="24"/>
    </row>
    <row r="15" spans="1:17">
      <c r="A15" s="6" t="s">
        <v>23</v>
      </c>
      <c r="B15" s="6" t="s">
        <v>24</v>
      </c>
      <c r="C15" s="6"/>
      <c r="D15" s="21" t="s">
        <v>259</v>
      </c>
      <c r="E15" s="206" t="s">
        <v>36</v>
      </c>
      <c r="F15" s="207" t="s">
        <v>33</v>
      </c>
      <c r="G15" s="207" t="s">
        <v>71</v>
      </c>
      <c r="H15" s="208"/>
      <c r="I15" s="209">
        <v>520</v>
      </c>
      <c r="K15" s="24"/>
      <c r="M15" s="24"/>
      <c r="N15" s="24"/>
      <c r="O15" s="24"/>
      <c r="P15" s="24"/>
      <c r="Q15" s="24"/>
    </row>
    <row r="16" spans="1:17">
      <c r="A16" s="6" t="s">
        <v>27</v>
      </c>
      <c r="B16" s="6">
        <v>22</v>
      </c>
      <c r="C16" s="6" t="s">
        <v>4</v>
      </c>
      <c r="D16" s="21" t="s">
        <v>54</v>
      </c>
      <c r="E16" s="206" t="s">
        <v>36</v>
      </c>
      <c r="F16" s="207" t="s">
        <v>33</v>
      </c>
      <c r="G16" s="207" t="s">
        <v>71</v>
      </c>
      <c r="H16" s="208"/>
      <c r="I16" s="209">
        <v>520</v>
      </c>
      <c r="K16" s="24"/>
      <c r="M16" s="24"/>
      <c r="N16" s="24"/>
      <c r="O16" s="24"/>
      <c r="P16" s="24"/>
      <c r="Q16" s="24"/>
    </row>
    <row r="17" spans="1:17" ht="15.6">
      <c r="A17" s="6" t="s">
        <v>27</v>
      </c>
      <c r="B17" s="6">
        <v>22</v>
      </c>
      <c r="C17" s="6" t="s">
        <v>5</v>
      </c>
      <c r="D17" s="21" t="s">
        <v>55</v>
      </c>
      <c r="E17" s="206" t="s">
        <v>36</v>
      </c>
      <c r="F17" s="207" t="s">
        <v>33</v>
      </c>
      <c r="G17" s="207" t="s">
        <v>71</v>
      </c>
      <c r="H17" s="208"/>
      <c r="I17" s="209">
        <v>605</v>
      </c>
      <c r="J17" s="32"/>
      <c r="K17" s="26"/>
      <c r="M17" s="24"/>
      <c r="N17" s="24"/>
      <c r="O17" s="24"/>
      <c r="P17" s="24"/>
      <c r="Q17" s="24"/>
    </row>
    <row r="18" spans="1:17">
      <c r="A18" s="6" t="s">
        <v>27</v>
      </c>
      <c r="B18" s="6">
        <v>23</v>
      </c>
      <c r="C18" s="6" t="s">
        <v>4</v>
      </c>
      <c r="D18" s="21" t="s">
        <v>56</v>
      </c>
      <c r="E18" s="206" t="s">
        <v>36</v>
      </c>
      <c r="F18" s="207" t="s">
        <v>33</v>
      </c>
      <c r="G18" s="207" t="s">
        <v>71</v>
      </c>
      <c r="H18" s="208"/>
      <c r="I18" s="209">
        <v>520</v>
      </c>
      <c r="K18" s="24"/>
      <c r="M18" s="24"/>
      <c r="N18" s="24"/>
      <c r="O18" s="24"/>
      <c r="P18" s="24"/>
      <c r="Q18" s="24"/>
    </row>
    <row r="19" spans="1:17">
      <c r="A19" s="6" t="s">
        <v>27</v>
      </c>
      <c r="B19" s="6">
        <v>23</v>
      </c>
      <c r="C19" s="6" t="s">
        <v>5</v>
      </c>
      <c r="D19" s="21" t="s">
        <v>57</v>
      </c>
      <c r="E19" s="206" t="s">
        <v>36</v>
      </c>
      <c r="F19" s="207" t="s">
        <v>33</v>
      </c>
      <c r="G19" s="207" t="s">
        <v>71</v>
      </c>
      <c r="H19" s="208"/>
      <c r="I19" s="209">
        <v>605</v>
      </c>
      <c r="J19" s="32"/>
      <c r="K19" s="24"/>
      <c r="M19" s="24"/>
      <c r="N19" s="24"/>
      <c r="O19" s="24"/>
      <c r="P19" s="24"/>
      <c r="Q19" s="24"/>
    </row>
    <row r="20" spans="1:17">
      <c r="A20" s="6" t="s">
        <v>27</v>
      </c>
      <c r="B20" s="6">
        <v>24</v>
      </c>
      <c r="C20" s="6"/>
      <c r="D20" s="21" t="s">
        <v>58</v>
      </c>
      <c r="E20" s="206" t="s">
        <v>36</v>
      </c>
      <c r="F20" s="207" t="s">
        <v>33</v>
      </c>
      <c r="G20" s="207" t="s">
        <v>71</v>
      </c>
      <c r="H20" s="208"/>
      <c r="I20" s="209">
        <v>520</v>
      </c>
      <c r="K20" s="24"/>
      <c r="M20" s="24"/>
      <c r="N20" s="24"/>
      <c r="O20" s="24"/>
      <c r="P20" s="24"/>
      <c r="Q20" s="24"/>
    </row>
    <row r="21" spans="1:17">
      <c r="A21" s="6" t="s">
        <v>6</v>
      </c>
      <c r="B21" s="6">
        <v>26</v>
      </c>
      <c r="C21" s="6" t="s">
        <v>4</v>
      </c>
      <c r="D21" s="21" t="s">
        <v>45</v>
      </c>
      <c r="E21" s="206" t="s">
        <v>36</v>
      </c>
      <c r="F21" s="207" t="s">
        <v>33</v>
      </c>
      <c r="G21" s="207" t="s">
        <v>71</v>
      </c>
      <c r="H21" s="208"/>
      <c r="I21" s="209">
        <v>520</v>
      </c>
      <c r="K21" s="24"/>
      <c r="M21" s="24"/>
      <c r="N21" s="24"/>
      <c r="O21" s="24"/>
      <c r="P21" s="24"/>
      <c r="Q21" s="24"/>
    </row>
    <row r="22" spans="1:17">
      <c r="A22" s="6" t="s">
        <v>27</v>
      </c>
      <c r="B22" s="6">
        <v>27</v>
      </c>
      <c r="C22" s="6" t="s">
        <v>4</v>
      </c>
      <c r="D22" s="21" t="s">
        <v>59</v>
      </c>
      <c r="E22" s="206" t="s">
        <v>36</v>
      </c>
      <c r="F22" s="207" t="s">
        <v>33</v>
      </c>
      <c r="G22" s="207" t="s">
        <v>71</v>
      </c>
      <c r="H22" s="208"/>
      <c r="I22" s="209">
        <v>520</v>
      </c>
      <c r="K22" s="24"/>
      <c r="M22" s="24"/>
      <c r="N22" s="24"/>
      <c r="O22" s="24"/>
      <c r="P22" s="24"/>
      <c r="Q22" s="24"/>
    </row>
    <row r="23" spans="1:17">
      <c r="A23" s="6" t="s">
        <v>17</v>
      </c>
      <c r="B23" s="6">
        <v>29</v>
      </c>
      <c r="C23" s="6" t="s">
        <v>18</v>
      </c>
      <c r="D23" s="21" t="s">
        <v>51</v>
      </c>
      <c r="E23" s="206" t="s">
        <v>36</v>
      </c>
      <c r="F23" s="207" t="s">
        <v>33</v>
      </c>
      <c r="G23" s="207" t="s">
        <v>71</v>
      </c>
      <c r="H23" s="208"/>
      <c r="I23" s="209">
        <v>520</v>
      </c>
      <c r="K23" s="24"/>
      <c r="M23" s="24"/>
      <c r="N23" s="24"/>
      <c r="O23" s="24"/>
      <c r="P23" s="24"/>
      <c r="Q23" s="24"/>
    </row>
    <row r="24" spans="1:17">
      <c r="A24" s="6"/>
      <c r="B24" s="6"/>
      <c r="C24" s="6"/>
      <c r="D24" s="21" t="s">
        <v>216</v>
      </c>
      <c r="E24" s="206" t="s">
        <v>36</v>
      </c>
      <c r="F24" s="207" t="s">
        <v>33</v>
      </c>
      <c r="G24" s="207" t="s">
        <v>71</v>
      </c>
      <c r="H24" s="208"/>
      <c r="I24" s="211">
        <v>9999</v>
      </c>
      <c r="K24" s="24"/>
      <c r="M24" s="24"/>
      <c r="N24" s="24"/>
      <c r="O24" s="24"/>
      <c r="P24" s="24"/>
      <c r="Q24" s="24"/>
    </row>
    <row r="25" spans="1:17">
      <c r="A25" s="6" t="s">
        <v>17</v>
      </c>
      <c r="B25" s="6" t="s">
        <v>21</v>
      </c>
      <c r="C25" s="6"/>
      <c r="D25" s="21" t="s">
        <v>52</v>
      </c>
      <c r="E25" s="206" t="s">
        <v>36</v>
      </c>
      <c r="F25" s="207" t="s">
        <v>33</v>
      </c>
      <c r="G25" s="207" t="s">
        <v>71</v>
      </c>
      <c r="H25" s="208"/>
      <c r="I25" s="209">
        <v>520</v>
      </c>
      <c r="K25" s="24"/>
      <c r="M25" s="24"/>
      <c r="N25" s="24"/>
      <c r="O25" s="24"/>
      <c r="P25" s="24"/>
      <c r="Q25" s="24"/>
    </row>
    <row r="26" spans="1:17">
      <c r="A26" s="6" t="s">
        <v>23</v>
      </c>
      <c r="B26" s="6">
        <v>30</v>
      </c>
      <c r="C26" s="6" t="s">
        <v>18</v>
      </c>
      <c r="D26" s="21" t="s">
        <v>260</v>
      </c>
      <c r="E26" s="206" t="s">
        <v>36</v>
      </c>
      <c r="F26" s="207" t="s">
        <v>33</v>
      </c>
      <c r="G26" s="207" t="s">
        <v>71</v>
      </c>
      <c r="H26" s="208"/>
      <c r="I26" s="209">
        <v>520</v>
      </c>
      <c r="K26" s="24"/>
      <c r="M26" s="24"/>
      <c r="N26" s="24"/>
      <c r="O26" s="24"/>
      <c r="P26" s="24"/>
      <c r="Q26" s="24"/>
    </row>
    <row r="27" spans="1:17">
      <c r="A27" s="6"/>
      <c r="B27" s="6"/>
      <c r="C27" s="6"/>
      <c r="D27" s="21" t="s">
        <v>261</v>
      </c>
      <c r="E27" s="206" t="s">
        <v>36</v>
      </c>
      <c r="F27" s="207" t="s">
        <v>33</v>
      </c>
      <c r="G27" s="207" t="s">
        <v>71</v>
      </c>
      <c r="H27" s="208"/>
      <c r="I27" s="211">
        <v>9999</v>
      </c>
      <c r="K27" s="24"/>
      <c r="M27" s="24"/>
      <c r="N27" s="24"/>
      <c r="O27" s="24"/>
      <c r="P27" s="24"/>
      <c r="Q27" s="24"/>
    </row>
    <row r="28" spans="1:17">
      <c r="A28" s="6" t="s">
        <v>23</v>
      </c>
      <c r="B28" s="6" t="s">
        <v>26</v>
      </c>
      <c r="C28" s="6"/>
      <c r="D28" s="21" t="s">
        <v>262</v>
      </c>
      <c r="E28" s="206" t="s">
        <v>36</v>
      </c>
      <c r="F28" s="207" t="s">
        <v>33</v>
      </c>
      <c r="G28" s="207" t="s">
        <v>71</v>
      </c>
      <c r="H28" s="208"/>
      <c r="I28" s="209">
        <v>520</v>
      </c>
      <c r="K28" s="24"/>
      <c r="L28" s="25"/>
      <c r="M28" s="24"/>
      <c r="N28" s="24"/>
      <c r="O28" s="24"/>
      <c r="P28" s="24"/>
      <c r="Q28" s="24"/>
    </row>
    <row r="29" spans="1:17">
      <c r="A29" s="6" t="s">
        <v>23</v>
      </c>
      <c r="B29" s="6" t="s">
        <v>25</v>
      </c>
      <c r="C29" s="6"/>
      <c r="D29" s="21" t="s">
        <v>263</v>
      </c>
      <c r="E29" s="206" t="s">
        <v>36</v>
      </c>
      <c r="F29" s="207" t="s">
        <v>33</v>
      </c>
      <c r="G29" s="207" t="s">
        <v>71</v>
      </c>
      <c r="H29" s="208"/>
      <c r="I29" s="209">
        <v>520</v>
      </c>
      <c r="K29" s="24"/>
      <c r="L29" s="25"/>
      <c r="M29" s="24"/>
      <c r="N29" s="24"/>
      <c r="O29" s="24"/>
      <c r="P29" s="24"/>
      <c r="Q29" s="24"/>
    </row>
    <row r="30" spans="1:17">
      <c r="A30" s="6" t="s">
        <v>31</v>
      </c>
      <c r="B30" s="6">
        <v>31</v>
      </c>
      <c r="C30" s="6" t="s">
        <v>18</v>
      </c>
      <c r="D30" s="21" t="s">
        <v>267</v>
      </c>
      <c r="E30" s="206" t="s">
        <v>36</v>
      </c>
      <c r="F30" s="207" t="s">
        <v>33</v>
      </c>
      <c r="G30" s="207" t="s">
        <v>71</v>
      </c>
      <c r="H30" s="208"/>
      <c r="I30" s="209">
        <v>520</v>
      </c>
      <c r="K30" s="24"/>
      <c r="L30" s="25"/>
      <c r="M30" s="24"/>
      <c r="N30" s="24"/>
      <c r="O30" s="24"/>
      <c r="P30" s="24"/>
      <c r="Q30" s="24"/>
    </row>
    <row r="31" spans="1:17">
      <c r="A31" s="6" t="s">
        <v>31</v>
      </c>
      <c r="B31" s="6">
        <v>32</v>
      </c>
      <c r="C31" s="6" t="s">
        <v>18</v>
      </c>
      <c r="D31" s="21" t="s">
        <v>268</v>
      </c>
      <c r="E31" s="206" t="s">
        <v>36</v>
      </c>
      <c r="F31" s="207" t="s">
        <v>33</v>
      </c>
      <c r="G31" s="207" t="s">
        <v>71</v>
      </c>
      <c r="H31" s="208"/>
      <c r="I31" s="209">
        <v>520</v>
      </c>
      <c r="K31" s="24"/>
      <c r="L31" s="25"/>
      <c r="M31" s="24"/>
      <c r="N31" s="24"/>
      <c r="O31" s="24"/>
      <c r="P31" s="24"/>
      <c r="Q31" s="24"/>
    </row>
    <row r="32" spans="1:17">
      <c r="A32" s="6" t="s">
        <v>31</v>
      </c>
      <c r="B32" s="6">
        <v>33</v>
      </c>
      <c r="C32" s="6" t="s">
        <v>18</v>
      </c>
      <c r="D32" s="21" t="s">
        <v>269</v>
      </c>
      <c r="E32" s="206" t="s">
        <v>36</v>
      </c>
      <c r="F32" s="207" t="s">
        <v>33</v>
      </c>
      <c r="G32" s="207" t="s">
        <v>71</v>
      </c>
      <c r="H32" s="208"/>
      <c r="I32" s="209">
        <v>520</v>
      </c>
      <c r="L32" s="25"/>
      <c r="N32" s="24"/>
      <c r="O32" s="24"/>
      <c r="P32" s="24"/>
    </row>
    <row r="33" spans="1:16">
      <c r="A33" s="6" t="s">
        <v>6</v>
      </c>
      <c r="B33" s="6">
        <v>34</v>
      </c>
      <c r="C33" s="6" t="s">
        <v>5</v>
      </c>
      <c r="D33" s="21" t="s">
        <v>46</v>
      </c>
      <c r="E33" s="206" t="s">
        <v>76</v>
      </c>
      <c r="F33" s="207" t="s">
        <v>75</v>
      </c>
      <c r="G33" s="207" t="s">
        <v>75</v>
      </c>
      <c r="H33" s="208"/>
      <c r="I33" s="210">
        <v>605</v>
      </c>
      <c r="N33" s="24"/>
      <c r="O33" s="24"/>
      <c r="P33" s="24"/>
    </row>
    <row r="34" spans="1:16">
      <c r="A34" s="6" t="s">
        <v>23</v>
      </c>
      <c r="B34" s="6">
        <v>36</v>
      </c>
      <c r="C34" s="6"/>
      <c r="D34" s="21" t="s">
        <v>264</v>
      </c>
      <c r="E34" s="206" t="s">
        <v>36</v>
      </c>
      <c r="F34" s="207" t="s">
        <v>33</v>
      </c>
      <c r="G34" s="207" t="s">
        <v>71</v>
      </c>
      <c r="H34" s="208"/>
      <c r="I34" s="209">
        <v>520</v>
      </c>
      <c r="N34" s="24"/>
      <c r="O34" s="24"/>
      <c r="P34" s="24"/>
    </row>
    <row r="35" spans="1:16">
      <c r="A35" s="6" t="s">
        <v>17</v>
      </c>
      <c r="B35" s="6">
        <v>40</v>
      </c>
      <c r="C35" s="6" t="s">
        <v>22</v>
      </c>
      <c r="D35" s="21" t="s">
        <v>53</v>
      </c>
      <c r="E35" s="206" t="s">
        <v>36</v>
      </c>
      <c r="F35" s="207" t="s">
        <v>33</v>
      </c>
      <c r="G35" s="207" t="s">
        <v>71</v>
      </c>
      <c r="H35" s="208"/>
      <c r="I35" s="209">
        <v>605</v>
      </c>
      <c r="N35" s="24"/>
      <c r="O35" s="24"/>
      <c r="P35" s="24"/>
    </row>
    <row r="36" spans="1:16">
      <c r="A36" s="6" t="s">
        <v>23</v>
      </c>
      <c r="B36" s="6">
        <v>41</v>
      </c>
      <c r="C36" s="6" t="s">
        <v>18</v>
      </c>
      <c r="D36" s="21" t="s">
        <v>265</v>
      </c>
      <c r="E36" s="206" t="s">
        <v>36</v>
      </c>
      <c r="F36" s="207" t="s">
        <v>33</v>
      </c>
      <c r="G36" s="207" t="s">
        <v>71</v>
      </c>
      <c r="H36" s="208"/>
      <c r="I36" s="209">
        <v>520</v>
      </c>
      <c r="N36" s="24"/>
      <c r="O36" s="24"/>
      <c r="P36" s="24"/>
    </row>
    <row r="37" spans="1:16">
      <c r="A37" s="6" t="s">
        <v>23</v>
      </c>
      <c r="B37" s="6">
        <v>41</v>
      </c>
      <c r="C37" s="6" t="s">
        <v>22</v>
      </c>
      <c r="D37" s="21" t="s">
        <v>266</v>
      </c>
      <c r="E37" s="206" t="s">
        <v>36</v>
      </c>
      <c r="F37" s="207" t="s">
        <v>33</v>
      </c>
      <c r="G37" s="207" t="s">
        <v>71</v>
      </c>
      <c r="H37" s="208"/>
      <c r="I37" s="209">
        <v>605</v>
      </c>
      <c r="N37" s="24"/>
      <c r="O37" s="24"/>
      <c r="P37" s="24"/>
    </row>
    <row r="38" spans="1:16">
      <c r="A38" s="6" t="s">
        <v>30</v>
      </c>
      <c r="B38" s="6">
        <v>42</v>
      </c>
      <c r="C38" s="6"/>
      <c r="D38" s="21" t="s">
        <v>61</v>
      </c>
      <c r="E38" s="206" t="s">
        <v>36</v>
      </c>
      <c r="F38" s="207" t="s">
        <v>33</v>
      </c>
      <c r="G38" s="207"/>
      <c r="H38" s="208"/>
      <c r="I38" s="209">
        <v>400</v>
      </c>
      <c r="N38" s="24"/>
      <c r="O38" s="24"/>
      <c r="P38" s="24"/>
    </row>
    <row r="39" spans="1:16">
      <c r="A39" s="6" t="s">
        <v>6</v>
      </c>
      <c r="B39" s="6">
        <v>43</v>
      </c>
      <c r="C39" s="6"/>
      <c r="D39" s="21" t="s">
        <v>47</v>
      </c>
      <c r="E39" s="206" t="s">
        <v>36</v>
      </c>
      <c r="F39" s="207" t="s">
        <v>33</v>
      </c>
      <c r="G39" s="207" t="s">
        <v>71</v>
      </c>
      <c r="H39" s="208"/>
      <c r="I39" s="209">
        <v>470</v>
      </c>
      <c r="N39" s="24"/>
      <c r="O39" s="24"/>
      <c r="P39" s="24"/>
    </row>
    <row r="40" spans="1:16">
      <c r="A40" s="6" t="s">
        <v>6</v>
      </c>
      <c r="B40" s="6" t="s">
        <v>9</v>
      </c>
      <c r="C40" s="6" t="s">
        <v>10</v>
      </c>
      <c r="D40" s="21" t="s">
        <v>64</v>
      </c>
      <c r="E40" s="206" t="s">
        <v>36</v>
      </c>
      <c r="F40" s="207" t="s">
        <v>33</v>
      </c>
      <c r="G40" s="207" t="s">
        <v>71</v>
      </c>
      <c r="H40" s="208"/>
      <c r="I40" s="209">
        <v>470</v>
      </c>
      <c r="N40" s="24"/>
      <c r="O40" s="24"/>
      <c r="P40" s="24"/>
    </row>
    <row r="41" spans="1:16">
      <c r="A41" s="6" t="s">
        <v>6</v>
      </c>
      <c r="B41" s="6" t="s">
        <v>9</v>
      </c>
      <c r="C41" s="6" t="s">
        <v>11</v>
      </c>
      <c r="D41" s="21" t="s">
        <v>66</v>
      </c>
      <c r="E41" s="206" t="s">
        <v>36</v>
      </c>
      <c r="F41" s="207" t="s">
        <v>33</v>
      </c>
      <c r="G41" s="207" t="s">
        <v>71</v>
      </c>
      <c r="H41" s="208"/>
      <c r="I41" s="209">
        <v>520</v>
      </c>
    </row>
    <row r="42" spans="1:16">
      <c r="A42" s="6" t="s">
        <v>29</v>
      </c>
      <c r="B42" s="6">
        <v>44</v>
      </c>
      <c r="C42" s="6"/>
      <c r="D42" s="21" t="s">
        <v>60</v>
      </c>
      <c r="E42" s="206" t="s">
        <v>76</v>
      </c>
      <c r="F42" s="207" t="s">
        <v>75</v>
      </c>
      <c r="G42" s="207" t="s">
        <v>75</v>
      </c>
      <c r="H42" s="208"/>
      <c r="I42" s="209">
        <v>430</v>
      </c>
    </row>
    <row r="43" spans="1:16" ht="16.95" customHeight="1">
      <c r="A43" s="6" t="s">
        <v>6</v>
      </c>
      <c r="B43" s="6">
        <v>45</v>
      </c>
      <c r="C43" s="6"/>
      <c r="D43" s="21" t="s">
        <v>48</v>
      </c>
      <c r="E43" s="206" t="s">
        <v>36</v>
      </c>
      <c r="F43" s="207" t="s">
        <v>33</v>
      </c>
      <c r="G43" s="207" t="s">
        <v>71</v>
      </c>
      <c r="H43" s="208"/>
      <c r="I43" s="209">
        <v>520</v>
      </c>
    </row>
    <row r="44" spans="1:16">
      <c r="A44" s="6" t="s">
        <v>6</v>
      </c>
      <c r="B44" s="6">
        <v>45</v>
      </c>
      <c r="C44" s="6" t="s">
        <v>12</v>
      </c>
      <c r="D44" s="21" t="s">
        <v>67</v>
      </c>
      <c r="E44" s="206" t="s">
        <v>36</v>
      </c>
      <c r="F44" s="207" t="s">
        <v>33</v>
      </c>
      <c r="G44" s="207" t="s">
        <v>71</v>
      </c>
      <c r="H44" s="208"/>
      <c r="I44" s="209">
        <v>605</v>
      </c>
    </row>
    <row r="45" spans="1:16">
      <c r="A45" s="6" t="s">
        <v>6</v>
      </c>
      <c r="B45" s="6">
        <v>47</v>
      </c>
      <c r="C45" s="6" t="s">
        <v>13</v>
      </c>
      <c r="D45" s="21" t="s">
        <v>68</v>
      </c>
      <c r="E45" s="206" t="s">
        <v>36</v>
      </c>
      <c r="F45" s="207" t="s">
        <v>33</v>
      </c>
      <c r="G45" s="207" t="s">
        <v>71</v>
      </c>
      <c r="H45" s="208"/>
      <c r="I45" s="209">
        <v>605</v>
      </c>
    </row>
    <row r="46" spans="1:16">
      <c r="A46" s="6" t="s">
        <v>6</v>
      </c>
      <c r="B46" s="6">
        <v>48</v>
      </c>
      <c r="C46" s="6" t="s">
        <v>14</v>
      </c>
      <c r="D46" s="21" t="s">
        <v>65</v>
      </c>
      <c r="E46" s="206" t="s">
        <v>36</v>
      </c>
      <c r="F46" s="207" t="s">
        <v>33</v>
      </c>
      <c r="G46" s="207" t="s">
        <v>71</v>
      </c>
      <c r="H46" s="208"/>
      <c r="I46" s="209">
        <v>470</v>
      </c>
    </row>
    <row r="47" spans="1:16">
      <c r="A47" s="6" t="s">
        <v>6</v>
      </c>
      <c r="B47" s="6">
        <v>48</v>
      </c>
      <c r="C47" s="6" t="s">
        <v>15</v>
      </c>
      <c r="D47" s="21" t="s">
        <v>69</v>
      </c>
      <c r="E47" s="206" t="s">
        <v>36</v>
      </c>
      <c r="F47" s="207" t="s">
        <v>33</v>
      </c>
      <c r="G47" s="207" t="s">
        <v>71</v>
      </c>
      <c r="H47" s="208"/>
      <c r="I47" s="209">
        <v>520</v>
      </c>
    </row>
    <row r="48" spans="1:16">
      <c r="A48" s="6" t="s">
        <v>6</v>
      </c>
      <c r="B48" s="6">
        <v>49</v>
      </c>
      <c r="C48" s="6" t="s">
        <v>16</v>
      </c>
      <c r="D48" s="21" t="s">
        <v>106</v>
      </c>
      <c r="E48" s="206" t="s">
        <v>36</v>
      </c>
      <c r="F48" s="207" t="s">
        <v>33</v>
      </c>
      <c r="G48" s="207" t="s">
        <v>71</v>
      </c>
      <c r="H48" s="208"/>
      <c r="I48" s="209">
        <v>605</v>
      </c>
    </row>
    <row r="49" spans="1:21">
      <c r="A49" s="1"/>
      <c r="B49" s="511"/>
      <c r="C49" s="511"/>
      <c r="D49" s="1"/>
      <c r="E49" s="2"/>
      <c r="F49" s="2"/>
      <c r="G49" s="2"/>
      <c r="I49" s="2"/>
    </row>
    <row r="50" spans="1:21">
      <c r="A50" s="1"/>
      <c r="B50" s="1"/>
      <c r="C50" s="1"/>
      <c r="D50" s="193" t="s">
        <v>275</v>
      </c>
      <c r="E50" s="2"/>
      <c r="F50" s="2"/>
      <c r="G50" s="2"/>
      <c r="I50" s="2"/>
    </row>
    <row r="51" spans="1:21" ht="36" customHeight="1">
      <c r="A51" s="1"/>
      <c r="B51" s="1"/>
      <c r="C51" s="1"/>
      <c r="D51" s="513" t="s">
        <v>270</v>
      </c>
      <c r="E51" s="513"/>
      <c r="F51" s="513"/>
      <c r="G51" s="513"/>
      <c r="H51" s="513"/>
      <c r="I51" s="513"/>
    </row>
    <row r="52" spans="1:21" ht="37.950000000000003" customHeight="1">
      <c r="A52" s="1"/>
      <c r="B52" s="1"/>
      <c r="C52" s="1"/>
      <c r="D52" s="512" t="s">
        <v>271</v>
      </c>
      <c r="E52" s="512"/>
      <c r="F52" s="512"/>
      <c r="G52" s="512"/>
      <c r="H52" s="512"/>
      <c r="I52" s="512"/>
    </row>
    <row r="53" spans="1:21">
      <c r="A53" s="1"/>
      <c r="B53" s="1"/>
      <c r="C53" s="1"/>
      <c r="D53" s="513" t="s">
        <v>272</v>
      </c>
      <c r="E53" s="513"/>
      <c r="F53" s="513"/>
      <c r="G53" s="513"/>
      <c r="H53" s="513"/>
      <c r="I53" s="513"/>
    </row>
    <row r="54" spans="1:21">
      <c r="A54" s="1"/>
      <c r="B54" s="1"/>
      <c r="C54" s="1"/>
      <c r="D54" s="515" t="s">
        <v>273</v>
      </c>
      <c r="E54" s="515"/>
      <c r="F54" s="515"/>
      <c r="G54" s="515"/>
      <c r="H54" s="515"/>
      <c r="I54" s="515"/>
    </row>
    <row r="55" spans="1:21">
      <c r="A55" s="1"/>
      <c r="B55" s="1"/>
      <c r="C55" s="1"/>
      <c r="D55" s="516" t="s">
        <v>274</v>
      </c>
      <c r="E55" s="516"/>
      <c r="F55" s="516"/>
      <c r="G55" s="516"/>
      <c r="H55" s="516"/>
      <c r="I55" s="516"/>
    </row>
    <row r="56" spans="1:21">
      <c r="A56" s="1"/>
      <c r="B56" s="1"/>
      <c r="C56" s="1"/>
      <c r="E56" s="2"/>
      <c r="F56" s="2"/>
      <c r="G56" s="2"/>
      <c r="I56" s="2"/>
    </row>
    <row r="57" spans="1:21">
      <c r="A57" s="1"/>
      <c r="B57" s="1"/>
      <c r="C57" s="1"/>
      <c r="D57" s="1"/>
      <c r="E57" s="2"/>
      <c r="F57" s="2"/>
      <c r="G57" s="2"/>
      <c r="I57" s="2"/>
    </row>
    <row r="58" spans="1:21">
      <c r="A58" s="1"/>
      <c r="B58" s="1"/>
      <c r="C58" s="1"/>
      <c r="D58" s="1"/>
      <c r="E58" s="2"/>
      <c r="F58" s="2"/>
      <c r="G58" s="2"/>
      <c r="I58" s="2"/>
    </row>
    <row r="59" spans="1:21">
      <c r="A59" s="12"/>
      <c r="B59" s="511"/>
      <c r="C59" s="511"/>
      <c r="D59" s="1"/>
      <c r="E59" s="2"/>
      <c r="F59" s="2"/>
      <c r="G59" s="2"/>
      <c r="I59" s="2"/>
    </row>
    <row r="60" spans="1:21" ht="15.6" thickBot="1">
      <c r="D60" s="13" t="s">
        <v>32</v>
      </c>
      <c r="E60"/>
      <c r="F60" s="1"/>
      <c r="G60" s="2"/>
      <c r="I60" s="2"/>
    </row>
    <row r="61" spans="1:21" s="11" customFormat="1" ht="18" customHeight="1">
      <c r="D61" s="198" t="s">
        <v>3</v>
      </c>
      <c r="E61" s="199">
        <v>17</v>
      </c>
      <c r="F61" s="200" t="s">
        <v>5</v>
      </c>
      <c r="G61" s="2"/>
      <c r="H61"/>
      <c r="I61" s="2"/>
      <c r="J61" s="18"/>
      <c r="K61"/>
      <c r="R61" s="10"/>
      <c r="S61" s="10"/>
      <c r="T61" s="10"/>
      <c r="U61" s="10"/>
    </row>
    <row r="62" spans="1:21" s="11" customFormat="1" ht="18" customHeight="1">
      <c r="D62" s="201" t="s">
        <v>3</v>
      </c>
      <c r="E62" s="197">
        <v>17</v>
      </c>
      <c r="F62" s="202" t="s">
        <v>18</v>
      </c>
      <c r="G62" s="2"/>
      <c r="H62"/>
      <c r="I62" s="2"/>
      <c r="J62" s="18"/>
      <c r="K62"/>
    </row>
    <row r="63" spans="1:21" s="11" customFormat="1" ht="18" customHeight="1">
      <c r="D63" s="201" t="s">
        <v>3</v>
      </c>
      <c r="E63" s="197">
        <v>17</v>
      </c>
      <c r="F63" s="202" t="s">
        <v>28</v>
      </c>
      <c r="G63" s="2"/>
      <c r="H63"/>
      <c r="I63" s="2"/>
      <c r="J63" s="18"/>
      <c r="K63"/>
    </row>
    <row r="64" spans="1:21" s="11" customFormat="1" ht="18" customHeight="1">
      <c r="D64" s="201" t="s">
        <v>3</v>
      </c>
      <c r="E64" s="197">
        <v>19</v>
      </c>
      <c r="F64" s="202" t="s">
        <v>18</v>
      </c>
      <c r="G64" s="2"/>
      <c r="H64"/>
      <c r="I64" s="2"/>
      <c r="J64" s="18"/>
      <c r="K64"/>
    </row>
    <row r="65" spans="4:11" s="11" customFormat="1" ht="18" customHeight="1">
      <c r="D65" s="201" t="s">
        <v>3</v>
      </c>
      <c r="E65" s="197">
        <v>19</v>
      </c>
      <c r="F65" s="202" t="s">
        <v>28</v>
      </c>
      <c r="G65" s="2"/>
      <c r="H65"/>
      <c r="I65" s="2"/>
      <c r="J65" s="18"/>
      <c r="K65"/>
    </row>
    <row r="66" spans="4:11" s="11" customFormat="1" ht="18" customHeight="1">
      <c r="D66" s="201" t="s">
        <v>3</v>
      </c>
      <c r="E66" s="197">
        <v>26</v>
      </c>
      <c r="F66" s="202" t="s">
        <v>18</v>
      </c>
      <c r="G66" s="2"/>
      <c r="H66"/>
      <c r="I66" s="2"/>
      <c r="J66" s="18"/>
      <c r="K66"/>
    </row>
    <row r="67" spans="4:11" s="11" customFormat="1" ht="18" customHeight="1">
      <c r="D67" s="201" t="s">
        <v>3</v>
      </c>
      <c r="E67" s="197">
        <v>34</v>
      </c>
      <c r="F67" s="202" t="s">
        <v>18</v>
      </c>
      <c r="G67" s="2"/>
      <c r="H67"/>
      <c r="I67" s="2"/>
      <c r="J67" s="18"/>
      <c r="K67"/>
    </row>
    <row r="68" spans="4:11" s="11" customFormat="1" ht="15" customHeight="1">
      <c r="D68" s="201" t="s">
        <v>3</v>
      </c>
      <c r="E68" s="197">
        <v>34</v>
      </c>
      <c r="F68" s="202" t="s">
        <v>28</v>
      </c>
      <c r="G68" s="2"/>
      <c r="H68"/>
      <c r="I68" s="2"/>
      <c r="J68" s="18"/>
      <c r="K68"/>
    </row>
    <row r="69" spans="4:11" s="11" customFormat="1">
      <c r="D69" s="201" t="s">
        <v>27</v>
      </c>
      <c r="E69" s="197">
        <v>22</v>
      </c>
      <c r="F69" s="202" t="s">
        <v>18</v>
      </c>
      <c r="G69" s="2"/>
      <c r="H69"/>
      <c r="I69" s="2"/>
      <c r="J69" s="18"/>
    </row>
    <row r="70" spans="4:11" s="11" customFormat="1">
      <c r="D70" s="201" t="s">
        <v>27</v>
      </c>
      <c r="E70" s="197">
        <v>23</v>
      </c>
      <c r="F70" s="202" t="s">
        <v>18</v>
      </c>
      <c r="G70" s="2"/>
      <c r="H70"/>
      <c r="I70" s="2"/>
      <c r="J70" s="18"/>
    </row>
    <row r="71" spans="4:11" s="11" customFormat="1">
      <c r="D71" s="201" t="s">
        <v>27</v>
      </c>
      <c r="E71" s="197">
        <v>27</v>
      </c>
      <c r="F71" s="202" t="s">
        <v>18</v>
      </c>
      <c r="G71" s="2"/>
      <c r="H71"/>
      <c r="I71" s="2"/>
      <c r="J71" s="18"/>
    </row>
    <row r="72" spans="4:11" s="11" customFormat="1">
      <c r="D72" s="201" t="s">
        <v>27</v>
      </c>
      <c r="E72" s="197">
        <v>35</v>
      </c>
      <c r="F72" s="202" t="s">
        <v>18</v>
      </c>
      <c r="G72" s="2"/>
      <c r="H72"/>
      <c r="I72" s="2"/>
      <c r="J72" s="19"/>
    </row>
    <row r="73" spans="4:11" s="11" customFormat="1" ht="15.6" thickBot="1">
      <c r="D73" s="203" t="s">
        <v>27</v>
      </c>
      <c r="E73" s="204">
        <v>35</v>
      </c>
      <c r="F73" s="205" t="s">
        <v>28</v>
      </c>
      <c r="G73" s="2"/>
      <c r="H73"/>
      <c r="I73" s="2"/>
      <c r="J73" s="19"/>
    </row>
    <row r="74" spans="4:11">
      <c r="D74" s="1"/>
      <c r="E74" s="2"/>
      <c r="F74" s="2"/>
      <c r="G74" s="2"/>
      <c r="I74" s="2"/>
    </row>
    <row r="75" spans="4:11">
      <c r="D75" s="1"/>
      <c r="E75" s="2"/>
      <c r="F75" s="2"/>
      <c r="G75" s="2"/>
      <c r="I75" s="2"/>
    </row>
    <row r="76" spans="4:11">
      <c r="D76" s="1"/>
      <c r="E76" s="2"/>
      <c r="F76" s="2"/>
      <c r="G76" s="2"/>
      <c r="I76" s="2"/>
    </row>
    <row r="77" spans="4:11">
      <c r="I77" s="14"/>
    </row>
    <row r="78" spans="4:11">
      <c r="I78" s="14"/>
    </row>
    <row r="79" spans="4:11">
      <c r="I79" s="14"/>
    </row>
  </sheetData>
  <sortState xmlns:xlrd2="http://schemas.microsoft.com/office/spreadsheetml/2017/richdata2" ref="N30:N32">
    <sortCondition ref="N30:N32"/>
  </sortState>
  <mergeCells count="8">
    <mergeCell ref="B59:C59"/>
    <mergeCell ref="D52:I52"/>
    <mergeCell ref="D51:I51"/>
    <mergeCell ref="E3:G3"/>
    <mergeCell ref="D53:I53"/>
    <mergeCell ref="D54:I54"/>
    <mergeCell ref="D55:I55"/>
    <mergeCell ref="B49:C49"/>
  </mergeCells>
  <pageMargins left="0.7" right="0.7" top="0.75" bottom="0.75" header="0.3" footer="0.3"/>
  <pageSetup orientation="portrait" horizontalDpi="0" verticalDpi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BA5A5-A708-3446-B669-EB1A57933B3E}">
  <sheetPr>
    <tabColor rgb="FFFF0000"/>
  </sheetPr>
  <dimension ref="A1:C70"/>
  <sheetViews>
    <sheetView showGridLines="0" topLeftCell="A37" zoomScale="200" zoomScaleNormal="200" workbookViewId="0">
      <selection activeCell="E60" sqref="E60"/>
    </sheetView>
  </sheetViews>
  <sheetFormatPr defaultColWidth="10.90625" defaultRowHeight="15"/>
  <cols>
    <col min="1" max="1" width="5.81640625" customWidth="1"/>
    <col min="2" max="2" width="45.54296875" customWidth="1"/>
    <col min="3" max="3" width="36.26953125" customWidth="1"/>
  </cols>
  <sheetData>
    <row r="1" spans="1:3">
      <c r="A1" s="82" t="s">
        <v>366</v>
      </c>
      <c r="B1" s="252">
        <v>45443</v>
      </c>
      <c r="C1" s="82" t="s">
        <v>379</v>
      </c>
    </row>
    <row r="2" spans="1:3">
      <c r="A2" s="82"/>
      <c r="B2" s="252">
        <f>version_workbook</f>
        <v>45578</v>
      </c>
      <c r="C2" s="82" t="s">
        <v>380</v>
      </c>
    </row>
    <row r="3" spans="1:3" ht="15.6">
      <c r="A3" s="188" t="s">
        <v>194</v>
      </c>
      <c r="B3" s="73"/>
      <c r="C3" s="73"/>
    </row>
    <row r="4" spans="1:3" s="233" customFormat="1" ht="13.8">
      <c r="A4" s="253"/>
      <c r="B4" s="255" t="s">
        <v>238</v>
      </c>
      <c r="C4" s="254" t="s">
        <v>237</v>
      </c>
    </row>
    <row r="5" spans="1:3" s="233" customFormat="1" ht="13.8">
      <c r="A5" s="231">
        <v>1</v>
      </c>
      <c r="B5" s="517" t="s">
        <v>239</v>
      </c>
      <c r="C5" s="517"/>
    </row>
    <row r="6" spans="1:3" s="233" customFormat="1" ht="34.049999999999997" customHeight="1">
      <c r="A6" s="231">
        <v>2</v>
      </c>
      <c r="B6" s="340" t="s">
        <v>333</v>
      </c>
      <c r="C6" s="340"/>
    </row>
    <row r="7" spans="1:3" s="233" customFormat="1" ht="33" customHeight="1">
      <c r="A7" s="231">
        <v>3</v>
      </c>
      <c r="B7" s="340" t="s">
        <v>332</v>
      </c>
      <c r="C7" s="340"/>
    </row>
    <row r="8" spans="1:3" s="233" customFormat="1" ht="19.05" customHeight="1">
      <c r="A8" s="231">
        <v>4</v>
      </c>
      <c r="B8" s="340" t="s">
        <v>315</v>
      </c>
      <c r="C8" s="340"/>
    </row>
    <row r="9" spans="1:3" s="233" customFormat="1" ht="19.05" customHeight="1">
      <c r="A9" s="231">
        <v>5</v>
      </c>
      <c r="B9" s="340" t="s">
        <v>245</v>
      </c>
      <c r="C9" s="340"/>
    </row>
    <row r="10" spans="1:3" ht="19.05" customHeight="1">
      <c r="A10" s="35" t="s">
        <v>384</v>
      </c>
      <c r="B10" s="58"/>
      <c r="C10" s="58"/>
    </row>
    <row r="11" spans="1:3" s="257" customFormat="1" ht="30" customHeight="1">
      <c r="A11" s="529" t="s">
        <v>382</v>
      </c>
      <c r="B11" s="529"/>
      <c r="C11" s="529"/>
    </row>
    <row r="12" spans="1:3" s="257" customFormat="1" ht="19.05" customHeight="1">
      <c r="A12" s="530" t="s">
        <v>383</v>
      </c>
      <c r="B12" s="530"/>
      <c r="C12" s="530"/>
    </row>
    <row r="13" spans="1:3" s="257" customFormat="1" ht="19.05" customHeight="1">
      <c r="A13" s="530" t="s">
        <v>385</v>
      </c>
      <c r="B13" s="530"/>
      <c r="C13" s="530"/>
    </row>
    <row r="14" spans="1:3" s="146" customFormat="1" ht="7.05" customHeight="1"/>
    <row r="15" spans="1:3" ht="17.399999999999999">
      <c r="A15" s="518" t="s">
        <v>198</v>
      </c>
      <c r="B15" s="518"/>
      <c r="C15" s="518"/>
    </row>
    <row r="16" spans="1:3" s="233" customFormat="1" ht="14.4">
      <c r="A16" s="231">
        <v>1</v>
      </c>
      <c r="B16" s="258" t="s">
        <v>255</v>
      </c>
      <c r="C16" s="236" t="s">
        <v>331</v>
      </c>
    </row>
    <row r="17" spans="1:3" s="233" customFormat="1" ht="28.8">
      <c r="A17" s="231">
        <v>2</v>
      </c>
      <c r="B17" s="225" t="s">
        <v>363</v>
      </c>
      <c r="C17" s="259" t="s">
        <v>364</v>
      </c>
    </row>
    <row r="18" spans="1:3" s="233" customFormat="1" ht="14.4">
      <c r="A18" s="231">
        <v>3</v>
      </c>
      <c r="B18" s="225" t="s">
        <v>252</v>
      </c>
      <c r="C18" s="260"/>
    </row>
    <row r="19" spans="1:3" s="233" customFormat="1" ht="27.6">
      <c r="A19" s="231">
        <v>4</v>
      </c>
      <c r="B19" s="225" t="s">
        <v>253</v>
      </c>
      <c r="C19" s="260" t="s">
        <v>254</v>
      </c>
    </row>
    <row r="20" spans="1:3" s="233" customFormat="1" ht="27.6">
      <c r="A20" s="231">
        <v>5</v>
      </c>
      <c r="B20" s="225" t="s">
        <v>361</v>
      </c>
      <c r="C20" s="260" t="s">
        <v>362</v>
      </c>
    </row>
    <row r="21" spans="1:3" s="146" customFormat="1" ht="12" customHeight="1"/>
    <row r="22" spans="1:3" ht="17.399999999999999">
      <c r="A22" s="189" t="s">
        <v>199</v>
      </c>
      <c r="B22" s="190"/>
      <c r="C22" s="190"/>
    </row>
    <row r="23" spans="1:3" s="233" customFormat="1" ht="13.8">
      <c r="A23" s="231">
        <v>1</v>
      </c>
      <c r="B23" s="340" t="s">
        <v>365</v>
      </c>
      <c r="C23" s="340"/>
    </row>
    <row r="24" spans="1:3" s="233" customFormat="1" ht="13.8">
      <c r="A24" s="231">
        <v>2</v>
      </c>
      <c r="B24" s="340" t="s">
        <v>247</v>
      </c>
      <c r="C24" s="340"/>
    </row>
    <row r="25" spans="1:3" s="233" customFormat="1" ht="13.8">
      <c r="A25" s="231">
        <v>3</v>
      </c>
      <c r="B25" s="340" t="s">
        <v>248</v>
      </c>
      <c r="C25" s="340"/>
    </row>
    <row r="26" spans="1:3" s="233" customFormat="1" ht="7.05" customHeight="1"/>
    <row r="27" spans="1:3" ht="17.399999999999999">
      <c r="A27" s="237" t="s">
        <v>200</v>
      </c>
      <c r="B27" s="238"/>
      <c r="C27" s="239"/>
    </row>
    <row r="28" spans="1:3" s="233" customFormat="1" ht="13.8">
      <c r="A28" s="231">
        <v>1</v>
      </c>
      <c r="B28" s="233" t="s">
        <v>224</v>
      </c>
    </row>
    <row r="29" spans="1:3" s="233" customFormat="1" ht="31.05" customHeight="1">
      <c r="A29" s="231">
        <v>2</v>
      </c>
      <c r="B29" s="340" t="s">
        <v>334</v>
      </c>
      <c r="C29" s="340"/>
    </row>
    <row r="30" spans="1:3" s="233" customFormat="1" ht="7.95" customHeight="1" thickBot="1">
      <c r="A30" s="231"/>
      <c r="B30" s="225"/>
      <c r="C30" s="225"/>
    </row>
    <row r="31" spans="1:3" s="91" customFormat="1" ht="18.600000000000001" thickTop="1" thickBot="1">
      <c r="A31" s="526" t="s">
        <v>318</v>
      </c>
      <c r="B31" s="527"/>
      <c r="C31" s="528"/>
    </row>
    <row r="32" spans="1:3" ht="6" customHeight="1" thickTop="1">
      <c r="B32" s="35"/>
    </row>
    <row r="33" spans="1:3" ht="15.6">
      <c r="A33" s="520" t="s">
        <v>312</v>
      </c>
      <c r="B33" s="521"/>
      <c r="C33" s="522"/>
    </row>
    <row r="34" spans="1:3" ht="15.6">
      <c r="A34" s="5">
        <v>1</v>
      </c>
      <c r="B34" s="519" t="s">
        <v>202</v>
      </c>
      <c r="C34" s="519"/>
    </row>
    <row r="35" spans="1:3" s="233" customFormat="1" ht="14.4">
      <c r="A35" s="234">
        <v>2</v>
      </c>
      <c r="B35" s="235" t="s">
        <v>203</v>
      </c>
      <c r="C35" s="230" t="s">
        <v>249</v>
      </c>
    </row>
    <row r="36" spans="1:3" s="233" customFormat="1" ht="14.4">
      <c r="A36" s="234"/>
      <c r="B36" s="235"/>
      <c r="C36" s="230" t="s">
        <v>313</v>
      </c>
    </row>
    <row r="37" spans="1:3" s="233" customFormat="1" ht="16.05" customHeight="1">
      <c r="A37" s="234">
        <v>3</v>
      </c>
      <c r="B37" s="233" t="s">
        <v>317</v>
      </c>
    </row>
    <row r="38" spans="1:3" ht="6" customHeight="1">
      <c r="B38" s="59"/>
      <c r="C38" s="191"/>
    </row>
    <row r="39" spans="1:3" ht="15.6">
      <c r="A39" s="227" t="s">
        <v>328</v>
      </c>
      <c r="B39" s="228"/>
      <c r="C39" s="229"/>
    </row>
    <row r="40" spans="1:3" ht="15.6">
      <c r="A40" s="92" t="s">
        <v>201</v>
      </c>
      <c r="B40" s="35"/>
    </row>
    <row r="41" spans="1:3" s="258" customFormat="1" ht="13.8">
      <c r="A41" s="231">
        <v>1</v>
      </c>
      <c r="B41" s="340" t="s">
        <v>246</v>
      </c>
      <c r="C41" s="340"/>
    </row>
    <row r="42" spans="1:3" s="233" customFormat="1" ht="13.8">
      <c r="A42" s="231"/>
      <c r="B42" s="517" t="s">
        <v>330</v>
      </c>
      <c r="C42" s="517"/>
    </row>
    <row r="43" spans="1:3" s="233" customFormat="1" ht="31.95" customHeight="1">
      <c r="A43" s="231"/>
      <c r="B43" s="517" t="s">
        <v>319</v>
      </c>
      <c r="C43" s="517"/>
    </row>
    <row r="44" spans="1:3" s="233" customFormat="1" ht="6" customHeight="1">
      <c r="A44" s="231"/>
      <c r="B44" s="256"/>
      <c r="C44" s="256"/>
    </row>
    <row r="45" spans="1:3" s="233" customFormat="1" ht="13.8">
      <c r="A45" s="231">
        <v>2</v>
      </c>
      <c r="B45" s="233" t="s">
        <v>320</v>
      </c>
    </row>
    <row r="46" spans="1:3" s="233" customFormat="1" ht="6" customHeight="1">
      <c r="A46" s="231"/>
    </row>
    <row r="47" spans="1:3" s="233" customFormat="1" ht="13.8">
      <c r="A47" s="231">
        <v>3</v>
      </c>
      <c r="B47" s="233" t="s">
        <v>189</v>
      </c>
    </row>
    <row r="48" spans="1:3" s="233" customFormat="1" ht="13.8">
      <c r="A48" s="231"/>
      <c r="B48" s="232" t="s">
        <v>321</v>
      </c>
    </row>
    <row r="49" spans="1:3" s="233" customFormat="1" ht="13.8">
      <c r="A49" s="231"/>
      <c r="B49" s="232" t="s">
        <v>324</v>
      </c>
    </row>
    <row r="50" spans="1:3" s="233" customFormat="1" ht="13.8">
      <c r="A50" s="231"/>
      <c r="B50" s="232" t="s">
        <v>402</v>
      </c>
    </row>
    <row r="51" spans="1:3" s="233" customFormat="1" ht="13.8">
      <c r="A51" s="231"/>
      <c r="B51" s="232" t="s">
        <v>325</v>
      </c>
    </row>
    <row r="52" spans="1:3" s="233" customFormat="1" ht="13.8">
      <c r="A52" s="231"/>
      <c r="B52" s="232" t="s">
        <v>326</v>
      </c>
    </row>
    <row r="53" spans="1:3" s="233" customFormat="1" ht="6" customHeight="1">
      <c r="A53" s="231"/>
      <c r="B53" s="261"/>
    </row>
    <row r="54" spans="1:3" s="233" customFormat="1" ht="14.4">
      <c r="A54" s="231">
        <v>4</v>
      </c>
      <c r="B54" s="233" t="s">
        <v>190</v>
      </c>
      <c r="C54" s="236" t="s">
        <v>185</v>
      </c>
    </row>
    <row r="55" spans="1:3" s="233" customFormat="1" ht="14.4">
      <c r="A55" s="262"/>
      <c r="B55" s="233" t="s">
        <v>188</v>
      </c>
      <c r="C55" s="236" t="s">
        <v>187</v>
      </c>
    </row>
    <row r="56" spans="1:3" s="233" customFormat="1" ht="6" customHeight="1">
      <c r="A56" s="262"/>
    </row>
    <row r="57" spans="1:3" s="233" customFormat="1" ht="13.8">
      <c r="A57" s="263" t="s">
        <v>314</v>
      </c>
    </row>
    <row r="58" spans="1:3" s="233" customFormat="1" ht="14.4">
      <c r="A58" s="231">
        <v>5</v>
      </c>
      <c r="B58" s="233" t="s">
        <v>310</v>
      </c>
      <c r="C58" s="236" t="s">
        <v>311</v>
      </c>
    </row>
    <row r="59" spans="1:3" s="233" customFormat="1" ht="13.8">
      <c r="A59" s="264"/>
      <c r="B59" s="233" t="s">
        <v>186</v>
      </c>
      <c r="C59" s="265"/>
    </row>
    <row r="60" spans="1:3" s="233" customFormat="1" ht="6" customHeight="1">
      <c r="A60" s="264"/>
      <c r="C60" s="265"/>
    </row>
    <row r="61" spans="1:3" ht="16.05" customHeight="1">
      <c r="A61" s="523" t="s">
        <v>396</v>
      </c>
      <c r="B61" s="524"/>
      <c r="C61" s="525"/>
    </row>
    <row r="62" spans="1:3" s="258" customFormat="1" ht="16.05" customHeight="1">
      <c r="A62" s="231">
        <v>1</v>
      </c>
      <c r="B62" s="258" t="s">
        <v>329</v>
      </c>
      <c r="C62" s="260" t="s">
        <v>250</v>
      </c>
    </row>
    <row r="63" spans="1:3" s="258" customFormat="1" ht="16.05" customHeight="1">
      <c r="A63" s="231">
        <v>2</v>
      </c>
      <c r="B63" s="258" t="s">
        <v>397</v>
      </c>
      <c r="C63" s="260" t="s">
        <v>256</v>
      </c>
    </row>
    <row r="64" spans="1:3" s="233" customFormat="1" ht="6" customHeight="1"/>
    <row r="65" spans="1:3" ht="15.6">
      <c r="A65" s="35" t="s">
        <v>243</v>
      </c>
    </row>
    <row r="66" spans="1:3" s="233" customFormat="1" ht="14.4">
      <c r="A66" s="92"/>
      <c r="B66" s="233" t="s">
        <v>244</v>
      </c>
      <c r="C66" s="236" t="s">
        <v>327</v>
      </c>
    </row>
    <row r="67" spans="1:3" s="233" customFormat="1" ht="7.95" customHeight="1">
      <c r="A67" s="92"/>
      <c r="C67" s="236"/>
    </row>
    <row r="68" spans="1:3" ht="15.6">
      <c r="A68" s="35" t="s">
        <v>316</v>
      </c>
    </row>
    <row r="69" spans="1:3" s="146" customFormat="1" ht="6" customHeight="1"/>
    <row r="70" spans="1:3" s="146" customFormat="1" ht="13.8"/>
  </sheetData>
  <mergeCells count="20">
    <mergeCell ref="B5:C5"/>
    <mergeCell ref="B7:C7"/>
    <mergeCell ref="B8:C8"/>
    <mergeCell ref="B41:C41"/>
    <mergeCell ref="B6:C6"/>
    <mergeCell ref="A11:C11"/>
    <mergeCell ref="A12:C12"/>
    <mergeCell ref="A13:C13"/>
    <mergeCell ref="B23:C23"/>
    <mergeCell ref="B24:C24"/>
    <mergeCell ref="B25:C25"/>
    <mergeCell ref="B9:C9"/>
    <mergeCell ref="B42:C42"/>
    <mergeCell ref="A15:C15"/>
    <mergeCell ref="B34:C34"/>
    <mergeCell ref="A33:C33"/>
    <mergeCell ref="A61:C61"/>
    <mergeCell ref="B29:C29"/>
    <mergeCell ref="A31:C31"/>
    <mergeCell ref="B43:C43"/>
  </mergeCells>
  <pageMargins left="0.7" right="0.7" top="0.4" bottom="0.75" header="0.3" footer="0.3"/>
  <pageSetup orientation="landscape" horizontalDpi="0" verticalDpi="0"/>
  <headerFooter>
    <oddHeader>&amp;C&amp;"Arial,Regular"&amp;K000000G4G Order Form Maintenance Instructions</oddHeader>
    <oddFooter>&amp;L&amp;"Arial,Regular"&amp;K000000&amp;F
&amp;A&amp;C&amp;"Arial,Regular"&amp;K000000Page &amp;P of &amp;N&amp;R&amp;"Arial,Regular"&amp;K000000Printed:  &amp;D  &amp;T</oddFooter>
  </headerFooter>
  <rowBreaks count="1" manualBreakCount="1">
    <brk id="3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0B8FF-857E-8343-860F-65A95A2FBEC3}">
  <sheetPr>
    <tabColor rgb="FFFF0000"/>
  </sheetPr>
  <dimension ref="A1:R19"/>
  <sheetViews>
    <sheetView workbookViewId="0">
      <selection activeCell="H4" sqref="H4"/>
    </sheetView>
  </sheetViews>
  <sheetFormatPr defaultColWidth="10.90625" defaultRowHeight="15"/>
  <cols>
    <col min="7" max="7" width="18.54296875" customWidth="1"/>
    <col min="8" max="8" width="12.54296875" customWidth="1"/>
  </cols>
  <sheetData>
    <row r="1" spans="1:18" ht="15.6">
      <c r="A1" s="35" t="s">
        <v>366</v>
      </c>
      <c r="B1" s="251">
        <v>45443</v>
      </c>
    </row>
    <row r="2" spans="1:18" ht="27.6">
      <c r="A2" s="240" t="s">
        <v>335</v>
      </c>
      <c r="B2" s="240" t="s">
        <v>336</v>
      </c>
      <c r="C2" s="240" t="s">
        <v>337</v>
      </c>
      <c r="D2" s="240" t="s">
        <v>338</v>
      </c>
      <c r="E2" s="240" t="s">
        <v>339</v>
      </c>
      <c r="F2" s="240" t="s">
        <v>340</v>
      </c>
      <c r="G2" s="240" t="s">
        <v>178</v>
      </c>
      <c r="H2" s="240" t="s">
        <v>341</v>
      </c>
      <c r="I2" s="240" t="s">
        <v>342</v>
      </c>
      <c r="J2" s="241" t="s">
        <v>343</v>
      </c>
      <c r="K2" s="240" t="s">
        <v>344</v>
      </c>
      <c r="L2" s="240" t="s">
        <v>345</v>
      </c>
      <c r="M2" s="240" t="s">
        <v>346</v>
      </c>
      <c r="N2" s="240" t="s">
        <v>347</v>
      </c>
      <c r="O2" s="240" t="s">
        <v>348</v>
      </c>
      <c r="P2" s="242" t="s">
        <v>349</v>
      </c>
      <c r="Q2" s="243" t="s">
        <v>350</v>
      </c>
      <c r="R2" s="244" t="s">
        <v>351</v>
      </c>
    </row>
    <row r="3" spans="1:18" s="146" customFormat="1" ht="13.8">
      <c r="A3" s="146">
        <f>owner_name_last</f>
        <v>0</v>
      </c>
      <c r="B3" s="146">
        <f>owner_name_first</f>
        <v>0</v>
      </c>
      <c r="C3" s="246"/>
      <c r="D3" s="246"/>
      <c r="E3" s="246"/>
      <c r="F3" s="246"/>
      <c r="G3" s="246" t="str">
        <f>ffl_name</f>
        <v/>
      </c>
      <c r="H3" s="246" t="e">
        <f>TRIM(SUBSTITUTE((LEFT('1 Input_Form'!N5,(SEARCH("-",'1 Input_Form'!N5)-2))), CHAR(32), ""))</f>
        <v>#VALUE!</v>
      </c>
      <c r="I3" s="246" t="e">
        <f>VLOOKUP(sight_model,Calculations!B37:C40,2)</f>
        <v>#N/A</v>
      </c>
      <c r="J3" s="146">
        <f>acc1_qty</f>
        <v>0</v>
      </c>
      <c r="L3" s="246"/>
      <c r="M3" s="246"/>
      <c r="N3" s="246"/>
      <c r="O3" s="246"/>
      <c r="P3" s="246"/>
      <c r="Q3" s="246"/>
      <c r="R3" s="246"/>
    </row>
    <row r="4" spans="1:18">
      <c r="C4" s="5"/>
      <c r="D4" s="5"/>
      <c r="E4" s="5"/>
      <c r="F4" s="5"/>
    </row>
    <row r="5" spans="1:18">
      <c r="C5" s="5"/>
      <c r="D5" s="5"/>
      <c r="E5" s="5"/>
      <c r="F5" s="5"/>
    </row>
    <row r="6" spans="1:18">
      <c r="C6" s="5"/>
      <c r="D6" s="5"/>
      <c r="E6" s="5"/>
      <c r="F6" s="5"/>
    </row>
    <row r="7" spans="1:18">
      <c r="A7" s="5"/>
      <c r="C7" s="5"/>
      <c r="D7" s="5"/>
      <c r="E7" s="5"/>
      <c r="F7" s="5"/>
    </row>
    <row r="8" spans="1:18">
      <c r="C8" s="5"/>
      <c r="D8" s="5"/>
      <c r="E8" s="5"/>
      <c r="F8" s="5"/>
    </row>
    <row r="9" spans="1:18">
      <c r="C9" s="5"/>
      <c r="D9" s="5"/>
      <c r="E9" s="5"/>
      <c r="F9" s="5"/>
    </row>
    <row r="10" spans="1:18">
      <c r="A10" s="247" t="s">
        <v>368</v>
      </c>
      <c r="B10" s="248"/>
      <c r="C10" s="249"/>
      <c r="D10" s="249"/>
      <c r="E10" s="249"/>
      <c r="F10" s="249"/>
      <c r="G10" s="248"/>
      <c r="H10" s="248"/>
      <c r="I10" s="248"/>
    </row>
    <row r="11" spans="1:18">
      <c r="C11" s="5"/>
      <c r="D11" s="5"/>
      <c r="E11" s="5"/>
      <c r="F11" s="5"/>
    </row>
    <row r="12" spans="1:18">
      <c r="C12" s="5"/>
      <c r="D12" s="5"/>
      <c r="E12" s="5"/>
      <c r="F12" s="5"/>
    </row>
    <row r="13" spans="1:18">
      <c r="C13" s="5"/>
      <c r="D13" s="5"/>
      <c r="E13" s="5"/>
      <c r="F13" s="5"/>
      <c r="I13" s="5"/>
    </row>
    <row r="14" spans="1:18">
      <c r="C14" s="5"/>
      <c r="D14" s="5"/>
      <c r="E14" s="5"/>
      <c r="F14" s="5"/>
    </row>
    <row r="15" spans="1:18">
      <c r="C15" s="5"/>
      <c r="D15" s="5"/>
      <c r="E15" s="5"/>
      <c r="F15" s="5"/>
    </row>
    <row r="16" spans="1:18">
      <c r="C16" s="5"/>
      <c r="D16" s="5"/>
      <c r="E16" s="5"/>
      <c r="F16" s="5"/>
    </row>
    <row r="17" spans="3:10">
      <c r="C17" s="5"/>
      <c r="D17" s="5"/>
      <c r="E17" s="5"/>
      <c r="F17" s="5"/>
    </row>
    <row r="18" spans="3:10">
      <c r="C18" s="5"/>
      <c r="D18" s="5"/>
      <c r="E18" s="5"/>
      <c r="F18" s="5"/>
    </row>
    <row r="19" spans="3:10">
      <c r="J19" s="5"/>
    </row>
  </sheetData>
  <pageMargins left="0.7" right="0.7" top="0.75" bottom="0.75" header="0.3" footer="0.3"/>
  <pageSetup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F9B3-748B-914F-9203-382CCEFE40E9}">
  <sheetPr>
    <tabColor rgb="FFFF0000"/>
  </sheetPr>
  <dimension ref="A1:C52"/>
  <sheetViews>
    <sheetView workbookViewId="0">
      <selection activeCell="A4" sqref="A4"/>
    </sheetView>
  </sheetViews>
  <sheetFormatPr defaultColWidth="10.90625" defaultRowHeight="15"/>
  <sheetData>
    <row r="1" spans="1:2" ht="15.6">
      <c r="A1" s="271" t="s">
        <v>387</v>
      </c>
    </row>
    <row r="2" spans="1:2" ht="15.6">
      <c r="A2" s="271" t="s">
        <v>388</v>
      </c>
    </row>
    <row r="3" spans="1:2" ht="15.6">
      <c r="A3" s="271" t="s">
        <v>389</v>
      </c>
    </row>
    <row r="6" spans="1:2">
      <c r="A6" t="s">
        <v>353</v>
      </c>
    </row>
    <row r="8" spans="1:2">
      <c r="A8" s="273" t="s">
        <v>393</v>
      </c>
      <c r="B8" s="273"/>
    </row>
    <row r="9" spans="1:2" ht="15.6">
      <c r="A9" s="35" t="s">
        <v>156</v>
      </c>
    </row>
    <row r="10" spans="1:2">
      <c r="A10" t="s">
        <v>155</v>
      </c>
      <c r="B10">
        <v>3</v>
      </c>
    </row>
    <row r="11" spans="1:2">
      <c r="A11" t="s">
        <v>159</v>
      </c>
      <c r="B11">
        <v>4</v>
      </c>
    </row>
    <row r="12" spans="1:2">
      <c r="A12" t="s">
        <v>158</v>
      </c>
      <c r="B12">
        <v>5</v>
      </c>
    </row>
    <row r="13" spans="1:2">
      <c r="A13" t="s">
        <v>157</v>
      </c>
      <c r="B13">
        <v>6</v>
      </c>
    </row>
    <row r="15" spans="1:2">
      <c r="A15" s="273" t="s">
        <v>395</v>
      </c>
      <c r="B15" s="273"/>
    </row>
    <row r="16" spans="1:2">
      <c r="A16" t="s">
        <v>390</v>
      </c>
    </row>
    <row r="17" spans="1:2">
      <c r="B17" s="5">
        <f>SUM(A18:A28)</f>
        <v>0</v>
      </c>
    </row>
    <row r="18" spans="1:2">
      <c r="A18" s="267">
        <f>IF(OR('2 Engraving'!D8=" ",'2 Engraving'!D8="  ",'2 Engraving'!D8="   "),1,0)</f>
        <v>0</v>
      </c>
      <c r="B18" s="268"/>
    </row>
    <row r="19" spans="1:2">
      <c r="A19" s="267">
        <f>IF(OR('2 Engraving'!D9=" ",'2 Engraving'!D9="  ",'2 Engraving'!D9="   "),1,0)</f>
        <v>0</v>
      </c>
      <c r="B19" s="269"/>
    </row>
    <row r="20" spans="1:2">
      <c r="A20" s="267">
        <f>IF(OR('2 Engraving'!D10=" ",'2 Engraving'!D10="  ",'2 Engraving'!D10="   "),1,0)</f>
        <v>0</v>
      </c>
      <c r="B20" s="269"/>
    </row>
    <row r="21" spans="1:2">
      <c r="A21" s="267">
        <f>IF(OR('2 Engraving'!D11=" ",'2 Engraving'!D11="  ",'2 Engraving'!D11="   "),1,0)</f>
        <v>0</v>
      </c>
      <c r="B21" s="269"/>
    </row>
    <row r="22" spans="1:2">
      <c r="A22" s="267">
        <f>IF(OR('2 Engraving'!D12=" ",'2 Engraving'!D12="  ",'2 Engraving'!D12="   "),1,0)</f>
        <v>0</v>
      </c>
      <c r="B22" s="269"/>
    </row>
    <row r="23" spans="1:2">
      <c r="A23" s="267">
        <f>IF(OR('2 Engraving'!D13=" ",'2 Engraving'!D13="  ",'2 Engraving'!D13="   "),1,0)</f>
        <v>0</v>
      </c>
      <c r="B23" s="269"/>
    </row>
    <row r="24" spans="1:2">
      <c r="A24" s="267">
        <f>IF(OR('2 Engraving'!D14=" ",'2 Engraving'!D14="  ",'2 Engraving'!D14="   "),1,0)</f>
        <v>0</v>
      </c>
      <c r="B24" s="269"/>
    </row>
    <row r="25" spans="1:2">
      <c r="A25" s="267">
        <f>IF(OR('2 Engraving'!D15=" ",'2 Engraving'!D15="  ",'2 Engraving'!D15="   "),1,0)</f>
        <v>0</v>
      </c>
      <c r="B25" s="269"/>
    </row>
    <row r="26" spans="1:2">
      <c r="A26" s="267">
        <f>IF(OR('2 Engraving'!D16=" ",'2 Engraving'!D16="  ",'2 Engraving'!D16="   "),1,0)</f>
        <v>0</v>
      </c>
      <c r="B26" s="269"/>
    </row>
    <row r="27" spans="1:2">
      <c r="A27" s="267">
        <f>IF(OR('2 Engraving'!D17=" ",'2 Engraving'!D17="  ",'2 Engraving'!D17="   "),1,0)</f>
        <v>0</v>
      </c>
      <c r="B27" s="269"/>
    </row>
    <row r="28" spans="1:2">
      <c r="A28" s="267">
        <f>IF(OR('2 Engraving'!D18=" ",'2 Engraving'!D18="  ",'2 Engraving'!D18="   "),1,0)</f>
        <v>0</v>
      </c>
      <c r="B28" s="270"/>
    </row>
    <row r="30" spans="1:2">
      <c r="A30" s="40" t="s">
        <v>251</v>
      </c>
      <c r="B30" s="40"/>
    </row>
    <row r="31" spans="1:2">
      <c r="A31" t="s">
        <v>394</v>
      </c>
    </row>
    <row r="33" spans="1:3">
      <c r="A33" s="212" t="b">
        <v>0</v>
      </c>
    </row>
    <row r="35" spans="1:3">
      <c r="A35" s="272" t="s">
        <v>391</v>
      </c>
      <c r="B35" s="272" t="s">
        <v>392</v>
      </c>
      <c r="C35" s="272"/>
    </row>
    <row r="36" spans="1:3" ht="30">
      <c r="A36" t="s">
        <v>354</v>
      </c>
      <c r="B36" s="245" t="s">
        <v>355</v>
      </c>
      <c r="C36" s="22" t="s">
        <v>356</v>
      </c>
    </row>
    <row r="37" spans="1:3">
      <c r="B37" t="s">
        <v>357</v>
      </c>
      <c r="C37" t="s">
        <v>359</v>
      </c>
    </row>
    <row r="38" spans="1:3">
      <c r="B38" t="s">
        <v>71</v>
      </c>
      <c r="C38" t="s">
        <v>352</v>
      </c>
    </row>
    <row r="39" spans="1:3">
      <c r="B39" t="s">
        <v>33</v>
      </c>
      <c r="C39" t="s">
        <v>33</v>
      </c>
    </row>
    <row r="40" spans="1:3">
      <c r="B40" t="s">
        <v>36</v>
      </c>
      <c r="C40" t="s">
        <v>358</v>
      </c>
    </row>
    <row r="43" spans="1:3">
      <c r="A43" t="s">
        <v>369</v>
      </c>
      <c r="B43" t="s">
        <v>370</v>
      </c>
      <c r="C43" s="250">
        <f>version_1_Input_Form</f>
        <v>45578</v>
      </c>
    </row>
    <row r="44" spans="1:3">
      <c r="B44" t="s">
        <v>371</v>
      </c>
      <c r="C44" s="250">
        <f>version_2_engraving</f>
        <v>45453</v>
      </c>
    </row>
    <row r="45" spans="1:3">
      <c r="B45" t="s">
        <v>372</v>
      </c>
      <c r="C45" s="250">
        <f>version_3_eligibility</f>
        <v>45453</v>
      </c>
    </row>
    <row r="46" spans="1:3">
      <c r="B46" t="s">
        <v>373</v>
      </c>
      <c r="C46" s="250">
        <f>version_4_display_case</f>
        <v>45463</v>
      </c>
    </row>
    <row r="47" spans="1:3">
      <c r="B47" t="s">
        <v>374</v>
      </c>
      <c r="C47" s="250">
        <f>version_kiesler</f>
        <v>45453</v>
      </c>
    </row>
    <row r="48" spans="1:3">
      <c r="B48" t="s">
        <v>375</v>
      </c>
      <c r="C48" s="250">
        <f>version_option_pricing</f>
        <v>45519</v>
      </c>
    </row>
    <row r="49" spans="2:3">
      <c r="B49" t="s">
        <v>376</v>
      </c>
      <c r="C49" s="250">
        <f>version_gun_pricing</f>
        <v>45440</v>
      </c>
    </row>
    <row r="50" spans="2:3">
      <c r="B50" t="s">
        <v>377</v>
      </c>
      <c r="C50" s="250">
        <f>version_G4G_instructions</f>
        <v>45443</v>
      </c>
    </row>
    <row r="51" spans="2:3">
      <c r="B51" t="s">
        <v>378</v>
      </c>
      <c r="C51" s="250">
        <f>version_OS_transfer</f>
        <v>45443</v>
      </c>
    </row>
    <row r="52" spans="2:3" ht="15.6">
      <c r="B52" s="35" t="s">
        <v>381</v>
      </c>
      <c r="C52" s="251">
        <f>MAX(C43:C51)</f>
        <v>45578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BD5F-7095-7A44-BC93-A7566A07DEE3}">
  <sheetPr>
    <tabColor rgb="FFFF0000"/>
  </sheetPr>
  <dimension ref="A1:E39"/>
  <sheetViews>
    <sheetView showGridLines="0" zoomScale="200" zoomScaleNormal="200" workbookViewId="0">
      <selection activeCell="G18" sqref="G18"/>
    </sheetView>
  </sheetViews>
  <sheetFormatPr defaultColWidth="10.90625" defaultRowHeight="15"/>
  <cols>
    <col min="1" max="1" width="5.81640625" customWidth="1"/>
    <col min="2" max="2" width="43.453125" customWidth="1"/>
    <col min="3" max="3" width="36.26953125" customWidth="1"/>
  </cols>
  <sheetData>
    <row r="1" spans="1:3">
      <c r="A1" t="s">
        <v>386</v>
      </c>
    </row>
    <row r="7" spans="1:3" ht="15.6">
      <c r="A7" s="35" t="s">
        <v>193</v>
      </c>
    </row>
    <row r="8" spans="1:3">
      <c r="B8" t="s">
        <v>73</v>
      </c>
      <c r="C8" t="s">
        <v>62</v>
      </c>
    </row>
    <row r="9" spans="1:3">
      <c r="B9" t="s">
        <v>74</v>
      </c>
      <c r="C9" t="s">
        <v>72</v>
      </c>
    </row>
    <row r="10" spans="1:3">
      <c r="C10" s="23" t="s">
        <v>78</v>
      </c>
    </row>
    <row r="13" spans="1:3">
      <c r="B13" t="s">
        <v>140</v>
      </c>
    </row>
    <row r="14" spans="1:3">
      <c r="B14" t="s">
        <v>141</v>
      </c>
    </row>
    <row r="16" spans="1:3">
      <c r="B16" s="144" t="str">
        <f>IF(ISNUMBER(SEARCH("Display",acc5_name)),"",(IF(ISBLANK(acc5_name),"",acc5_name)))</f>
        <v/>
      </c>
    </row>
    <row r="17" spans="1:5">
      <c r="C17" t="e" cm="1" vm="4">
        <f t="array" ref="C17">_xlfn._xlws.FILTER('Gun Pricing'!E5:G48,'Gun Pricing'!D5:D48='Gun Pricing'!L13)</f>
        <v>#VALUE!</v>
      </c>
    </row>
    <row r="20" spans="1:5">
      <c r="B20" t="s">
        <v>191</v>
      </c>
    </row>
    <row r="22" spans="1:5" ht="17.399999999999999">
      <c r="A22" s="27"/>
      <c r="B22" s="213" t="s">
        <v>285</v>
      </c>
      <c r="C22" s="214"/>
      <c r="D22" s="214"/>
      <c r="E22" s="28"/>
    </row>
    <row r="23" spans="1:5">
      <c r="A23" s="39"/>
      <c r="D23" t="s">
        <v>120</v>
      </c>
      <c r="E23" s="29"/>
    </row>
    <row r="24" spans="1:5">
      <c r="A24" s="39">
        <v>1</v>
      </c>
      <c r="B24" t="s">
        <v>279</v>
      </c>
      <c r="D24">
        <v>3</v>
      </c>
      <c r="E24" s="29">
        <f>MATCH("yes",INDEX(A24:C28,0,3),0)</f>
        <v>5</v>
      </c>
    </row>
    <row r="25" spans="1:5">
      <c r="A25" s="39">
        <v>2</v>
      </c>
      <c r="D25">
        <v>2</v>
      </c>
      <c r="E25" s="29"/>
    </row>
    <row r="26" spans="1:5">
      <c r="A26" s="39">
        <v>3</v>
      </c>
      <c r="D26">
        <v>4</v>
      </c>
      <c r="E26" s="29"/>
    </row>
    <row r="27" spans="1:5">
      <c r="A27" s="39">
        <v>4</v>
      </c>
      <c r="D27">
        <v>6</v>
      </c>
      <c r="E27" s="29"/>
    </row>
    <row r="28" spans="1:5">
      <c r="A28" s="30">
        <v>5</v>
      </c>
      <c r="B28" s="215" t="s">
        <v>280</v>
      </c>
      <c r="C28" s="215" t="s">
        <v>281</v>
      </c>
      <c r="D28" s="215">
        <v>1</v>
      </c>
      <c r="E28" s="31"/>
    </row>
    <row r="30" spans="1:5" ht="15.6">
      <c r="A30" s="27"/>
      <c r="B30" s="218" t="s">
        <v>286</v>
      </c>
      <c r="C30" s="214"/>
      <c r="D30" s="214"/>
      <c r="E30" s="28"/>
    </row>
    <row r="31" spans="1:5">
      <c r="A31" s="39"/>
      <c r="B31" t="s">
        <v>287</v>
      </c>
      <c r="C31" s="22" t="s">
        <v>288</v>
      </c>
      <c r="E31" s="29"/>
    </row>
    <row r="32" spans="1:5" ht="31.2">
      <c r="A32" s="219" t="s">
        <v>293</v>
      </c>
      <c r="B32">
        <f>MATCH("display*",INDEX(A24:C28,0,2),0)</f>
        <v>5</v>
      </c>
      <c r="C32">
        <f>HLOOKUP(D23,A23:D28,B32+1,4)</f>
        <v>1</v>
      </c>
      <c r="D32" t="str">
        <f>IF(C32&lt;&gt;0,"YES","NO")</f>
        <v>YES</v>
      </c>
      <c r="E32" s="29"/>
    </row>
    <row r="33" spans="1:5">
      <c r="A33" s="39"/>
      <c r="E33" s="29"/>
    </row>
    <row r="34" spans="1:5" ht="15.6">
      <c r="A34" s="216" t="s">
        <v>294</v>
      </c>
      <c r="E34" s="29"/>
    </row>
    <row r="35" spans="1:5">
      <c r="A35" s="39" t="s">
        <v>289</v>
      </c>
      <c r="B35">
        <f>(MATCH("display*",INDEX('1 Input_Form'!B15:O20,0,1),0))</f>
        <v>5</v>
      </c>
      <c r="C35">
        <f>HLOOKUP('1 Input_Form'!N15,'1 Input_Form'!B15:O20,B35,0)</f>
        <v>0</v>
      </c>
      <c r="E35" s="29"/>
    </row>
    <row r="36" spans="1:5">
      <c r="A36" s="39" t="s">
        <v>290</v>
      </c>
      <c r="E36" s="29"/>
    </row>
    <row r="37" spans="1:5">
      <c r="A37" s="39" t="s">
        <v>292</v>
      </c>
      <c r="C37">
        <f>HLOOKUP('1 Input_Form'!N15,'1 Input_Form'!B15:O20,(MATCH("display*",INDEX('1 Input_Form'!B15:O20,0,1),0)),0)</f>
        <v>0</v>
      </c>
      <c r="E37" s="29"/>
    </row>
    <row r="38" spans="1:5">
      <c r="A38" s="39"/>
      <c r="E38" s="29"/>
    </row>
    <row r="39" spans="1:5">
      <c r="A39" s="30" t="s">
        <v>291</v>
      </c>
      <c r="B39" s="215"/>
      <c r="C39" s="217" t="str">
        <f>IF(HLOOKUP('1 Input_Form'!N15,'1 Input_Form'!B15:O20,(MATCH("display*",INDEX('1 Input_Form'!B15:O20,0,1),0)),0)&lt;&gt;0,"YES","NO")</f>
        <v>NO</v>
      </c>
      <c r="D39" s="215"/>
      <c r="E39" s="31"/>
    </row>
  </sheetData>
  <hyperlinks>
    <hyperlink ref="C10" r:id="rId1" xr:uid="{2585C51A-8A89-9742-9192-A89348ADCD3C}"/>
  </hyperlinks>
  <pageMargins left="0.7" right="0.7" top="0.5" bottom="0.75" header="0.3" footer="0.3"/>
  <pageSetup orientation="landscape" horizontalDpi="0" verticalDpi="0"/>
  <headerFooter>
    <oddHeader>&amp;C&amp;"Arial,Regular"&amp;K000000G4G Order Form Maintenance Instructions</oddHeader>
    <oddFooter>&amp;L&amp;"Arial,Regular"&amp;K000000&amp;F
&amp;A&amp;C&amp;"Arial,Regular"&amp;K000000Page &amp;P of &amp;N&amp;R&amp;"Arial,Regular"&amp;K000000Printed:  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99</vt:i4>
      </vt:variant>
    </vt:vector>
  </HeadingPairs>
  <TitlesOfParts>
    <vt:vector size="111" baseType="lpstr">
      <vt:lpstr>Instructions</vt:lpstr>
      <vt:lpstr>1 Input_Form</vt:lpstr>
      <vt:lpstr>2 Engraving</vt:lpstr>
      <vt:lpstr>3 Eligibility</vt:lpstr>
      <vt:lpstr>4 Display Case</vt:lpstr>
      <vt:lpstr>Kiesler</vt:lpstr>
      <vt:lpstr>Option pricing</vt:lpstr>
      <vt:lpstr>Gun Pricing</vt:lpstr>
      <vt:lpstr>G4G Instructions</vt:lpstr>
      <vt:lpstr>OS_Transfer</vt:lpstr>
      <vt:lpstr>Calculations</vt:lpstr>
      <vt:lpstr>Developer Notes</vt:lpstr>
      <vt:lpstr>acc1_name</vt:lpstr>
      <vt:lpstr>acc1_price</vt:lpstr>
      <vt:lpstr>acc1_qty</vt:lpstr>
      <vt:lpstr>acc1_source</vt:lpstr>
      <vt:lpstr>acc2_name</vt:lpstr>
      <vt:lpstr>acc2_price</vt:lpstr>
      <vt:lpstr>acc2_qty</vt:lpstr>
      <vt:lpstr>acc2_source</vt:lpstr>
      <vt:lpstr>acc3_name</vt:lpstr>
      <vt:lpstr>acc3_price</vt:lpstr>
      <vt:lpstr>acc3_qty</vt:lpstr>
      <vt:lpstr>acc3_source</vt:lpstr>
      <vt:lpstr>acc4_name</vt:lpstr>
      <vt:lpstr>acc4_price</vt:lpstr>
      <vt:lpstr>acc4_qty</vt:lpstr>
      <vt:lpstr>acc4_source</vt:lpstr>
      <vt:lpstr>acc5_name</vt:lpstr>
      <vt:lpstr>acc5_price</vt:lpstr>
      <vt:lpstr>acc5_qty</vt:lpstr>
      <vt:lpstr>acc5_source</vt:lpstr>
      <vt:lpstr>Accessory_name</vt:lpstr>
      <vt:lpstr>ameriglo_price</vt:lpstr>
      <vt:lpstr>amex_first_digit</vt:lpstr>
      <vt:lpstr>billing_address_1</vt:lpstr>
      <vt:lpstr>billing_address_2</vt:lpstr>
      <vt:lpstr>billing_address_check</vt:lpstr>
      <vt:lpstr>billing_city</vt:lpstr>
      <vt:lpstr>billing_state</vt:lpstr>
      <vt:lpstr>billing_zip</vt:lpstr>
      <vt:lpstr>card_holder_name</vt:lpstr>
      <vt:lpstr>cardholder_phone</vt:lpstr>
      <vt:lpstr>case_address_1</vt:lpstr>
      <vt:lpstr>case_address_2</vt:lpstr>
      <vt:lpstr>case_address_city</vt:lpstr>
      <vt:lpstr>case_address_state</vt:lpstr>
      <vt:lpstr>case_address_zip</vt:lpstr>
      <vt:lpstr>COS_FFL</vt:lpstr>
      <vt:lpstr>COS_FFL_Address1</vt:lpstr>
      <vt:lpstr>COS_FFL_Address2</vt:lpstr>
      <vt:lpstr>COS_FFL_city</vt:lpstr>
      <vt:lpstr>COS_FFL_phone</vt:lpstr>
      <vt:lpstr>COS_FFL_State</vt:lpstr>
      <vt:lpstr>COS_FFL_zip</vt:lpstr>
      <vt:lpstr>date_order</vt:lpstr>
      <vt:lpstr>DFW_FFL</vt:lpstr>
      <vt:lpstr>DFW_FFL_Address1</vt:lpstr>
      <vt:lpstr>DFW_FFL_Address2</vt:lpstr>
      <vt:lpstr>DFW_FFL_city</vt:lpstr>
      <vt:lpstr>DFW_FFL_phone</vt:lpstr>
      <vt:lpstr>DFW_FFL_State</vt:lpstr>
      <vt:lpstr>DFW_FFL_zip</vt:lpstr>
      <vt:lpstr>discover_first_digit</vt:lpstr>
      <vt:lpstr>engraving_price</vt:lpstr>
      <vt:lpstr>engravings_blank</vt:lpstr>
      <vt:lpstr>ffl_address_1</vt:lpstr>
      <vt:lpstr>ffl_address_2</vt:lpstr>
      <vt:lpstr>FFL_choice</vt:lpstr>
      <vt:lpstr>ffl_city</vt:lpstr>
      <vt:lpstr>ffl_name</vt:lpstr>
      <vt:lpstr>ffl_phone</vt:lpstr>
      <vt:lpstr>ffl_state</vt:lpstr>
      <vt:lpstr>ffl_zip</vt:lpstr>
      <vt:lpstr>GNS_price</vt:lpstr>
      <vt:lpstr>gun_model</vt:lpstr>
      <vt:lpstr>gun_subtotal</vt:lpstr>
      <vt:lpstr>mastercard_first_digit</vt:lpstr>
      <vt:lpstr>number_of_free_engravings</vt:lpstr>
      <vt:lpstr>order_number</vt:lpstr>
      <vt:lpstr>owner_email</vt:lpstr>
      <vt:lpstr>owner_name_first</vt:lpstr>
      <vt:lpstr>owner_name_last</vt:lpstr>
      <vt:lpstr>owner_phone</vt:lpstr>
      <vt:lpstr>'1 Input_Form'!Print_Area</vt:lpstr>
      <vt:lpstr>'2 Engraving'!Print_Area</vt:lpstr>
      <vt:lpstr>'3 Eligibility'!Print_Area</vt:lpstr>
      <vt:lpstr>'4 Display Case'!Print_Area</vt:lpstr>
      <vt:lpstr>'G4G Instructions'!Print_Area</vt:lpstr>
      <vt:lpstr>'Gun Pricing'!Print_Area</vt:lpstr>
      <vt:lpstr>Instructions!Print_Area</vt:lpstr>
      <vt:lpstr>Kiesler!Print_Area</vt:lpstr>
      <vt:lpstr>'Option pricing'!Print_Area</vt:lpstr>
      <vt:lpstr>'Gun Pricing'!Print_Titles</vt:lpstr>
      <vt:lpstr>sales_tax_amount</vt:lpstr>
      <vt:lpstr>sales_tax_rate</vt:lpstr>
      <vt:lpstr>serial_number</vt:lpstr>
      <vt:lpstr>shipping_price</vt:lpstr>
      <vt:lpstr>sight_model</vt:lpstr>
      <vt:lpstr>taxable_subtotal</vt:lpstr>
      <vt:lpstr>version_1_Input_Form</vt:lpstr>
      <vt:lpstr>version_2_engraving</vt:lpstr>
      <vt:lpstr>version_3_eligibility</vt:lpstr>
      <vt:lpstr>version_4_display_case</vt:lpstr>
      <vt:lpstr>version_G4G_instructions</vt:lpstr>
      <vt:lpstr>version_gun_pricing</vt:lpstr>
      <vt:lpstr>version_kiesler</vt:lpstr>
      <vt:lpstr>version_option_pricing</vt:lpstr>
      <vt:lpstr>version_OS_transfer</vt:lpstr>
      <vt:lpstr>version_workbook</vt:lpstr>
      <vt:lpstr>visa_first_digit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John Marlow</cp:lastModifiedBy>
  <cp:lastPrinted>2024-05-31T16:13:38Z</cp:lastPrinted>
  <dcterms:created xsi:type="dcterms:W3CDTF">2024-05-28T20:29:03Z</dcterms:created>
  <dcterms:modified xsi:type="dcterms:W3CDTF">2024-10-13T20:08:35Z</dcterms:modified>
</cp:coreProperties>
</file>